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LENOVO\Documents\DINAS PANGAN DAN PERKEBUNAN\PERENCANAAN 2023\Open Data\Bid Perkebunan\"/>
    </mc:Choice>
  </mc:AlternateContent>
  <xr:revisionPtr revIDLastSave="0" documentId="13_ncr:1_{BAE9FE0E-6BF4-4059-BA16-6AAB38B667D2}" xr6:coauthVersionLast="47" xr6:coauthVersionMax="47" xr10:uidLastSave="{00000000-0000-0000-0000-000000000000}"/>
  <bookViews>
    <workbookView xWindow="-110" yWindow="-110" windowWidth="19420" windowHeight="11500" firstSheet="14" activeTab="21" xr2:uid="{00000000-000D-0000-FFFF-FFFF00000000}"/>
  </bookViews>
  <sheets>
    <sheet name="BLANGKO LUASAN" sheetId="8" r:id="rId1"/>
    <sheet name="Jan" sheetId="24" r:id="rId2"/>
    <sheet name="Peb" sheetId="23" r:id="rId3"/>
    <sheet name="Mar" sheetId="22" r:id="rId4"/>
    <sheet name="April" sheetId="21" r:id="rId5"/>
    <sheet name="Mei" sheetId="1" r:id="rId6"/>
    <sheet name="Juni 18" sheetId="4" r:id="rId7"/>
    <sheet name="JULI 18" sheetId="5" r:id="rId8"/>
    <sheet name="AGUST 18" sheetId="6" r:id="rId9"/>
    <sheet name="SEPT 18" sheetId="7" r:id="rId10"/>
    <sheet name="okt" sheetId="9" r:id="rId11"/>
    <sheet name="Nop 18" sheetId="11" r:id="rId12"/>
    <sheet name="Des 18 " sheetId="19" r:id="rId13"/>
    <sheet name="Luasan" sheetId="14" r:id="rId14"/>
    <sheet name="JAN 19" sheetId="15" r:id="rId15"/>
    <sheet name="PEB 19" sheetId="16" r:id="rId16"/>
    <sheet name="MART 19" sheetId="17" r:id="rId17"/>
    <sheet name="APRIL19" sheetId="25" r:id="rId18"/>
    <sheet name="MEI 19" sheetId="26" r:id="rId19"/>
    <sheet name="JUNI 19" sheetId="27" r:id="rId20"/>
    <sheet name="JULI " sheetId="29" r:id="rId21"/>
    <sheet name="AGUST" sheetId="30" r:id="rId22"/>
    <sheet name="SEP 19" sheetId="31" r:id="rId23"/>
    <sheet name="OKT 19" sheetId="32" r:id="rId24"/>
    <sheet name="NOP 19" sheetId="33" r:id="rId25"/>
    <sheet name="Des19" sheetId="34" r:id="rId26"/>
    <sheet name="Jan2020" sheetId="35" r:id="rId27"/>
    <sheet name="Feb 2020" sheetId="36" r:id="rId28"/>
    <sheet name="Mar 2020" sheetId="37" r:id="rId29"/>
    <sheet name="APRIL 2020" sheetId="38" r:id="rId30"/>
    <sheet name="MEI 2020" sheetId="39" r:id="rId31"/>
    <sheet name="JUNI 2020" sheetId="40" r:id="rId32"/>
    <sheet name="SK POPT 20" sheetId="42" r:id="rId33"/>
    <sheet name="JULI 2020" sheetId="41" r:id="rId34"/>
    <sheet name="AGUST 20" sheetId="43" r:id="rId35"/>
    <sheet name="Sheet2" sheetId="54" r:id="rId36"/>
    <sheet name="SEPT20" sheetId="44" r:id="rId37"/>
    <sheet name="OKT20" sheetId="45" r:id="rId38"/>
    <sheet name="NOP20" sheetId="46" r:id="rId39"/>
    <sheet name="Des 2020" sheetId="47" r:id="rId40"/>
    <sheet name="Jan 21" sheetId="48" r:id="rId41"/>
    <sheet name="Peb21" sheetId="49" r:id="rId42"/>
    <sheet name="Mar 21" sheetId="50" r:id="rId43"/>
    <sheet name="April 21" sheetId="51" r:id="rId44"/>
    <sheet name="Mei 21" sheetId="52" r:id="rId45"/>
    <sheet name="JUNI 21" sheetId="53" r:id="rId46"/>
    <sheet name="Juli" sheetId="55" r:id="rId47"/>
    <sheet name="agustus 21" sheetId="56" r:id="rId48"/>
    <sheet name="Sep 21" sheetId="57" r:id="rId49"/>
    <sheet name="OKT 21" sheetId="58" r:id="rId50"/>
    <sheet name="NOP 21" sheetId="59" r:id="rId51"/>
    <sheet name="Des 21" sheetId="60" r:id="rId52"/>
  </sheets>
  <definedNames>
    <definedName name="_xlnm.Print_Titles" localSheetId="21">AGUST!$6:$7</definedName>
    <definedName name="_xlnm.Print_Titles" localSheetId="8">'AGUST 18'!$6:$7</definedName>
    <definedName name="_xlnm.Print_Titles" localSheetId="34">'AGUST 20'!$6:$7</definedName>
    <definedName name="_xlnm.Print_Titles" localSheetId="47">'agustus 21'!$6:$7</definedName>
    <definedName name="_xlnm.Print_Titles" localSheetId="4">April!$6:$7</definedName>
    <definedName name="_xlnm.Print_Titles" localSheetId="29">'APRIL 2020'!$6:$7</definedName>
    <definedName name="_xlnm.Print_Titles" localSheetId="43">'April 21'!$6:$7</definedName>
    <definedName name="_xlnm.Print_Titles" localSheetId="17">APRIL19!$6:$7</definedName>
    <definedName name="_xlnm.Print_Titles" localSheetId="0">'BLANGKO LUASAN'!$6:$7</definedName>
    <definedName name="_xlnm.Print_Titles" localSheetId="12">'Des 18 '!$6:$7</definedName>
    <definedName name="_xlnm.Print_Titles" localSheetId="39">'Des 2020'!$6:$7</definedName>
    <definedName name="_xlnm.Print_Titles" localSheetId="51">'Des 21'!$6:$7</definedName>
    <definedName name="_xlnm.Print_Titles" localSheetId="25">'Des19'!$6:$7</definedName>
    <definedName name="_xlnm.Print_Titles" localSheetId="27">'Feb 2020'!$6:$7</definedName>
    <definedName name="_xlnm.Print_Titles" localSheetId="1">Jan!$6:$7</definedName>
    <definedName name="_xlnm.Print_Titles" localSheetId="14">'JAN 19'!$6:$7</definedName>
    <definedName name="_xlnm.Print_Titles" localSheetId="40">'Jan 21'!$6:$7</definedName>
    <definedName name="_xlnm.Print_Titles" localSheetId="26">'Jan2020'!$6:$7</definedName>
    <definedName name="_xlnm.Print_Titles" localSheetId="46">Juli!$6:$7</definedName>
    <definedName name="_xlnm.Print_Titles" localSheetId="20">'JULI '!$6:$7</definedName>
    <definedName name="_xlnm.Print_Titles" localSheetId="7">'JULI 18'!$6:$7</definedName>
    <definedName name="_xlnm.Print_Titles" localSheetId="33">'JULI 2020'!$6:$7</definedName>
    <definedName name="_xlnm.Print_Titles" localSheetId="6">'Juni 18'!$6:$7</definedName>
    <definedName name="_xlnm.Print_Titles" localSheetId="19">'JUNI 19'!$6:$7</definedName>
    <definedName name="_xlnm.Print_Titles" localSheetId="31">'JUNI 2020'!$6:$7</definedName>
    <definedName name="_xlnm.Print_Titles" localSheetId="45">'JUNI 21'!$6:$7</definedName>
    <definedName name="_xlnm.Print_Titles" localSheetId="13">Luasan!$6:$7</definedName>
    <definedName name="_xlnm.Print_Titles" localSheetId="3">Mar!$6:$7</definedName>
    <definedName name="_xlnm.Print_Titles" localSheetId="28">'Mar 2020'!$6:$7</definedName>
    <definedName name="_xlnm.Print_Titles" localSheetId="42">'Mar 21'!$6:$7</definedName>
    <definedName name="_xlnm.Print_Titles" localSheetId="16">'MART 19'!$6:$7</definedName>
    <definedName name="_xlnm.Print_Titles" localSheetId="5">Mei!$6:$7</definedName>
    <definedName name="_xlnm.Print_Titles" localSheetId="18">'MEI 19'!$6:$7</definedName>
    <definedName name="_xlnm.Print_Titles" localSheetId="30">'MEI 2020'!$6:$7</definedName>
    <definedName name="_xlnm.Print_Titles" localSheetId="44">'Mei 21'!$6:$7</definedName>
    <definedName name="_xlnm.Print_Titles" localSheetId="11">'Nop 18'!$6:$7</definedName>
    <definedName name="_xlnm.Print_Titles" localSheetId="24">'NOP 19'!$6:$7</definedName>
    <definedName name="_xlnm.Print_Titles" localSheetId="50">'NOP 21'!$6:$7</definedName>
    <definedName name="_xlnm.Print_Titles" localSheetId="38">'NOP20'!$6:$7</definedName>
    <definedName name="_xlnm.Print_Titles" localSheetId="10">okt!$6:$7</definedName>
    <definedName name="_xlnm.Print_Titles" localSheetId="23">'OKT 19'!$6:$7</definedName>
    <definedName name="_xlnm.Print_Titles" localSheetId="49">'OKT 21'!$6:$7</definedName>
    <definedName name="_xlnm.Print_Titles" localSheetId="37">'OKT20'!$6:$7</definedName>
    <definedName name="_xlnm.Print_Titles" localSheetId="2">Peb!$6:$7</definedName>
    <definedName name="_xlnm.Print_Titles" localSheetId="15">'PEB 19'!$6:$7</definedName>
    <definedName name="_xlnm.Print_Titles" localSheetId="41">'Peb21'!$6:$7</definedName>
    <definedName name="_xlnm.Print_Titles" localSheetId="22">'SEP 19'!$6:$7</definedName>
    <definedName name="_xlnm.Print_Titles" localSheetId="48">'Sep 21'!$6:$7</definedName>
    <definedName name="_xlnm.Print_Titles" localSheetId="9">'SEPT 18'!$6:$7</definedName>
    <definedName name="_xlnm.Print_Titles" localSheetId="36">SEPT20!$6:$7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5" i="59" l="1"/>
  <c r="K105" i="59"/>
  <c r="J105" i="59"/>
  <c r="I105" i="59"/>
  <c r="L114" i="60"/>
  <c r="K114" i="60"/>
  <c r="J114" i="60"/>
  <c r="I114" i="60"/>
  <c r="G135" i="60"/>
  <c r="G134" i="60"/>
  <c r="F135" i="60"/>
  <c r="H135" i="60" s="1"/>
  <c r="F134" i="60"/>
  <c r="F136" i="60" s="1"/>
  <c r="G131" i="60"/>
  <c r="H131" i="60" s="1"/>
  <c r="G130" i="60"/>
  <c r="G128" i="60"/>
  <c r="G132" i="60"/>
  <c r="F132" i="60"/>
  <c r="F131" i="60"/>
  <c r="F130" i="60"/>
  <c r="H130" i="60" s="1"/>
  <c r="G129" i="60"/>
  <c r="P129" i="60" s="1"/>
  <c r="F129" i="60"/>
  <c r="H129" i="60" s="1"/>
  <c r="F128" i="60"/>
  <c r="G105" i="60"/>
  <c r="P105" i="60" s="1"/>
  <c r="G103" i="60"/>
  <c r="G110" i="60"/>
  <c r="P110" i="60" s="1"/>
  <c r="F110" i="60"/>
  <c r="H110" i="60" s="1"/>
  <c r="G109" i="60"/>
  <c r="F109" i="60"/>
  <c r="H109" i="60" s="1"/>
  <c r="G108" i="60"/>
  <c r="F108" i="60"/>
  <c r="G107" i="60"/>
  <c r="P107" i="60" s="1"/>
  <c r="F107" i="60"/>
  <c r="H107" i="60" s="1"/>
  <c r="G106" i="60"/>
  <c r="P106" i="60" s="1"/>
  <c r="F106" i="60"/>
  <c r="H106" i="60" s="1"/>
  <c r="F105" i="60"/>
  <c r="H105" i="60" s="1"/>
  <c r="G104" i="60"/>
  <c r="H104" i="60" s="1"/>
  <c r="F104" i="60"/>
  <c r="F103" i="60"/>
  <c r="H103" i="60" s="1"/>
  <c r="G98" i="60"/>
  <c r="G96" i="60"/>
  <c r="G95" i="60"/>
  <c r="F96" i="60"/>
  <c r="H96" i="60" s="1"/>
  <c r="G97" i="60"/>
  <c r="F95" i="60"/>
  <c r="F97" i="60" s="1"/>
  <c r="G93" i="60"/>
  <c r="P93" i="60" s="1"/>
  <c r="F93" i="60"/>
  <c r="H93" i="60" s="1"/>
  <c r="G92" i="60"/>
  <c r="P92" i="60" s="1"/>
  <c r="F92" i="60"/>
  <c r="G91" i="60"/>
  <c r="P91" i="60" s="1"/>
  <c r="F91" i="60"/>
  <c r="G90" i="60"/>
  <c r="F90" i="60"/>
  <c r="H90" i="60" s="1"/>
  <c r="G89" i="60"/>
  <c r="F89" i="60"/>
  <c r="H89" i="60" s="1"/>
  <c r="G88" i="60"/>
  <c r="F88" i="60"/>
  <c r="H88" i="60" s="1"/>
  <c r="G87" i="60"/>
  <c r="F87" i="60"/>
  <c r="G86" i="60"/>
  <c r="G94" i="60" s="1"/>
  <c r="F86" i="60"/>
  <c r="G76" i="60"/>
  <c r="P76" i="60" s="1"/>
  <c r="F76" i="60"/>
  <c r="H76" i="60" s="1"/>
  <c r="G75" i="60"/>
  <c r="P75" i="60" s="1"/>
  <c r="G71" i="60"/>
  <c r="P71" i="60" s="1"/>
  <c r="F71" i="60"/>
  <c r="H71" i="60" s="1"/>
  <c r="G70" i="60"/>
  <c r="P70" i="60" s="1"/>
  <c r="G67" i="60"/>
  <c r="P67" i="60" s="1"/>
  <c r="F67" i="60"/>
  <c r="H67" i="60" s="1"/>
  <c r="G66" i="60"/>
  <c r="F66" i="60"/>
  <c r="H66" i="60" s="1"/>
  <c r="G65" i="60"/>
  <c r="F65" i="60"/>
  <c r="G62" i="60"/>
  <c r="F62" i="60"/>
  <c r="H62" i="60" s="1"/>
  <c r="G61" i="60"/>
  <c r="P61" i="60" s="1"/>
  <c r="F61" i="60"/>
  <c r="G60" i="60"/>
  <c r="P60" i="60" s="1"/>
  <c r="F60" i="60"/>
  <c r="H60" i="60" s="1"/>
  <c r="G59" i="60"/>
  <c r="P59" i="60" s="1"/>
  <c r="G57" i="60"/>
  <c r="P57" i="60" s="1"/>
  <c r="F57" i="60"/>
  <c r="F56" i="60"/>
  <c r="G45" i="60"/>
  <c r="F45" i="60"/>
  <c r="H45" i="60" s="1"/>
  <c r="G44" i="60"/>
  <c r="P44" i="60" s="1"/>
  <c r="F44" i="60"/>
  <c r="H44" i="60" s="1"/>
  <c r="H43" i="60"/>
  <c r="G43" i="60"/>
  <c r="F43" i="60"/>
  <c r="G42" i="60"/>
  <c r="F42" i="60"/>
  <c r="G38" i="60"/>
  <c r="P38" i="60" s="1"/>
  <c r="F38" i="60"/>
  <c r="H38" i="60" s="1"/>
  <c r="G37" i="60"/>
  <c r="P37" i="60" s="1"/>
  <c r="F37" i="60"/>
  <c r="H37" i="60" s="1"/>
  <c r="G35" i="60"/>
  <c r="P35" i="60" s="1"/>
  <c r="F35" i="60"/>
  <c r="H35" i="60" s="1"/>
  <c r="H34" i="60"/>
  <c r="G34" i="60"/>
  <c r="F34" i="60"/>
  <c r="G33" i="60"/>
  <c r="F33" i="60"/>
  <c r="G32" i="60"/>
  <c r="F32" i="60"/>
  <c r="H32" i="60" s="1"/>
  <c r="G28" i="60"/>
  <c r="F28" i="60"/>
  <c r="H28" i="60" s="1"/>
  <c r="G27" i="60"/>
  <c r="P27" i="60" s="1"/>
  <c r="F27" i="60"/>
  <c r="H27" i="60" s="1"/>
  <c r="G26" i="60"/>
  <c r="F26" i="60"/>
  <c r="F25" i="60"/>
  <c r="G25" i="60" s="1"/>
  <c r="H25" i="60" s="1"/>
  <c r="G23" i="60"/>
  <c r="H23" i="60" s="1"/>
  <c r="F23" i="60"/>
  <c r="G22" i="60"/>
  <c r="F22" i="60"/>
  <c r="H22" i="60" s="1"/>
  <c r="G21" i="60"/>
  <c r="P21" i="60" s="1"/>
  <c r="F21" i="60"/>
  <c r="H21" i="60" s="1"/>
  <c r="F20" i="60"/>
  <c r="G20" i="60" s="1"/>
  <c r="G18" i="60"/>
  <c r="P18" i="60" s="1"/>
  <c r="F18" i="60"/>
  <c r="H18" i="60" s="1"/>
  <c r="H17" i="60"/>
  <c r="G17" i="60"/>
  <c r="F17" i="60"/>
  <c r="G16" i="60"/>
  <c r="F16" i="60"/>
  <c r="H16" i="60" s="1"/>
  <c r="G15" i="60"/>
  <c r="G19" i="60" s="1"/>
  <c r="F15" i="60"/>
  <c r="H15" i="60" s="1"/>
  <c r="G13" i="60"/>
  <c r="P13" i="60" s="1"/>
  <c r="F13" i="60"/>
  <c r="H13" i="60" s="1"/>
  <c r="G12" i="60"/>
  <c r="H12" i="60" s="1"/>
  <c r="F12" i="60"/>
  <c r="G11" i="60"/>
  <c r="H11" i="60" s="1"/>
  <c r="F11" i="60"/>
  <c r="G10" i="60"/>
  <c r="F10" i="60"/>
  <c r="H10" i="60" s="1"/>
  <c r="G126" i="59"/>
  <c r="G125" i="59"/>
  <c r="G123" i="59"/>
  <c r="G122" i="59"/>
  <c r="G121" i="59"/>
  <c r="G120" i="59"/>
  <c r="G119" i="59"/>
  <c r="G99" i="59"/>
  <c r="G87" i="59"/>
  <c r="G83" i="59"/>
  <c r="G81" i="59"/>
  <c r="G43" i="59"/>
  <c r="G41" i="59"/>
  <c r="G35" i="59"/>
  <c r="P35" i="59" s="1"/>
  <c r="G34" i="59"/>
  <c r="G33" i="59"/>
  <c r="G32" i="59"/>
  <c r="P32" i="59" s="1"/>
  <c r="G26" i="59"/>
  <c r="G22" i="59"/>
  <c r="G18" i="59"/>
  <c r="G17" i="59"/>
  <c r="G15" i="59"/>
  <c r="G13" i="59"/>
  <c r="G12" i="59"/>
  <c r="G10" i="59"/>
  <c r="G86" i="59"/>
  <c r="P86" i="59" s="1"/>
  <c r="G80" i="59"/>
  <c r="G79" i="59"/>
  <c r="G77" i="59"/>
  <c r="G72" i="59"/>
  <c r="G42" i="59"/>
  <c r="P42" i="59" s="1"/>
  <c r="G40" i="59"/>
  <c r="G38" i="59"/>
  <c r="P38" i="59" s="1"/>
  <c r="G37" i="59"/>
  <c r="P37" i="59" s="1"/>
  <c r="F35" i="59"/>
  <c r="G16" i="59"/>
  <c r="G11" i="59"/>
  <c r="P49" i="60"/>
  <c r="P48" i="60"/>
  <c r="P47" i="60"/>
  <c r="P45" i="60"/>
  <c r="P43" i="60"/>
  <c r="P34" i="60"/>
  <c r="P32" i="60"/>
  <c r="P43" i="59"/>
  <c r="P40" i="59"/>
  <c r="P34" i="59"/>
  <c r="P33" i="59"/>
  <c r="L136" i="60"/>
  <c r="K136" i="60"/>
  <c r="J136" i="60"/>
  <c r="I136" i="60"/>
  <c r="D136" i="60"/>
  <c r="M135" i="60"/>
  <c r="M134" i="60"/>
  <c r="M136" i="60" s="1"/>
  <c r="L133" i="60"/>
  <c r="K133" i="60"/>
  <c r="J133" i="60"/>
  <c r="I133" i="60"/>
  <c r="D133" i="60"/>
  <c r="M132" i="60"/>
  <c r="M131" i="60"/>
  <c r="P130" i="60"/>
  <c r="M130" i="60"/>
  <c r="M129" i="60"/>
  <c r="M128" i="60"/>
  <c r="M125" i="60"/>
  <c r="L125" i="60"/>
  <c r="K125" i="60"/>
  <c r="J125" i="60"/>
  <c r="I125" i="60"/>
  <c r="D125" i="60"/>
  <c r="M124" i="60"/>
  <c r="G124" i="60"/>
  <c r="P124" i="60" s="1"/>
  <c r="F124" i="60"/>
  <c r="H124" i="60" s="1"/>
  <c r="M123" i="60"/>
  <c r="G123" i="60"/>
  <c r="F123" i="60"/>
  <c r="F125" i="60" s="1"/>
  <c r="L122" i="60"/>
  <c r="K122" i="60"/>
  <c r="J122" i="60"/>
  <c r="J137" i="60" s="1"/>
  <c r="I122" i="60"/>
  <c r="D122" i="60"/>
  <c r="M121" i="60"/>
  <c r="G121" i="60"/>
  <c r="P121" i="60" s="1"/>
  <c r="F121" i="60"/>
  <c r="H121" i="60" s="1"/>
  <c r="M120" i="60"/>
  <c r="G120" i="60"/>
  <c r="F120" i="60"/>
  <c r="M119" i="60"/>
  <c r="G119" i="60"/>
  <c r="H119" i="60" s="1"/>
  <c r="F119" i="60"/>
  <c r="P118" i="60"/>
  <c r="M118" i="60"/>
  <c r="G118" i="60"/>
  <c r="F118" i="60"/>
  <c r="H118" i="60" s="1"/>
  <c r="J115" i="60"/>
  <c r="D114" i="60"/>
  <c r="M113" i="60"/>
  <c r="G113" i="60"/>
  <c r="P113" i="60" s="1"/>
  <c r="F113" i="60"/>
  <c r="H113" i="60" s="1"/>
  <c r="P112" i="60"/>
  <c r="P114" i="60" s="1"/>
  <c r="M112" i="60"/>
  <c r="M114" i="60" s="1"/>
  <c r="G112" i="60"/>
  <c r="G114" i="60" s="1"/>
  <c r="F112" i="60"/>
  <c r="F114" i="60" s="1"/>
  <c r="L111" i="60"/>
  <c r="K111" i="60"/>
  <c r="J111" i="60"/>
  <c r="I111" i="60"/>
  <c r="D111" i="60"/>
  <c r="M110" i="60"/>
  <c r="P109" i="60"/>
  <c r="M109" i="60"/>
  <c r="M108" i="60"/>
  <c r="M107" i="60"/>
  <c r="M106" i="60"/>
  <c r="M105" i="60"/>
  <c r="M104" i="60"/>
  <c r="M103" i="60"/>
  <c r="P103" i="60"/>
  <c r="L100" i="60"/>
  <c r="K100" i="60"/>
  <c r="J100" i="60"/>
  <c r="I100" i="60"/>
  <c r="D100" i="60"/>
  <c r="M99" i="60"/>
  <c r="G99" i="60"/>
  <c r="P99" i="60" s="1"/>
  <c r="F99" i="60"/>
  <c r="H99" i="60" s="1"/>
  <c r="P98" i="60"/>
  <c r="M98" i="60"/>
  <c r="M100" i="60" s="1"/>
  <c r="F98" i="60"/>
  <c r="H98" i="60" s="1"/>
  <c r="L97" i="60"/>
  <c r="K97" i="60"/>
  <c r="J97" i="60"/>
  <c r="I97" i="60"/>
  <c r="D97" i="60"/>
  <c r="M96" i="60"/>
  <c r="P96" i="60"/>
  <c r="M95" i="60"/>
  <c r="M97" i="60" s="1"/>
  <c r="L94" i="60"/>
  <c r="K94" i="60"/>
  <c r="J94" i="60"/>
  <c r="J101" i="60" s="1"/>
  <c r="I94" i="60"/>
  <c r="D94" i="60"/>
  <c r="M93" i="60"/>
  <c r="M91" i="60"/>
  <c r="P90" i="60"/>
  <c r="M90" i="60"/>
  <c r="M89" i="60"/>
  <c r="M88" i="60"/>
  <c r="P88" i="60"/>
  <c r="P87" i="60"/>
  <c r="M87" i="60"/>
  <c r="P86" i="60"/>
  <c r="M86" i="60"/>
  <c r="L83" i="60"/>
  <c r="K83" i="60"/>
  <c r="J83" i="60"/>
  <c r="I83" i="60"/>
  <c r="M82" i="60"/>
  <c r="D82" i="60"/>
  <c r="M81" i="60"/>
  <c r="M83" i="60" s="1"/>
  <c r="D81" i="60"/>
  <c r="D83" i="60" s="1"/>
  <c r="L80" i="60"/>
  <c r="K80" i="60"/>
  <c r="J80" i="60"/>
  <c r="I80" i="60"/>
  <c r="M79" i="60"/>
  <c r="D79" i="60"/>
  <c r="G79" i="60" s="1"/>
  <c r="P79" i="60" s="1"/>
  <c r="M78" i="60"/>
  <c r="D78" i="60"/>
  <c r="G78" i="60" s="1"/>
  <c r="P78" i="60" s="1"/>
  <c r="M77" i="60"/>
  <c r="D77" i="60"/>
  <c r="G77" i="60" s="1"/>
  <c r="P77" i="60" s="1"/>
  <c r="M76" i="60"/>
  <c r="D76" i="60"/>
  <c r="M75" i="60"/>
  <c r="D75" i="60"/>
  <c r="F75" i="60" s="1"/>
  <c r="H75" i="60" s="1"/>
  <c r="M74" i="60"/>
  <c r="D74" i="60"/>
  <c r="G74" i="60" s="1"/>
  <c r="M73" i="60"/>
  <c r="D73" i="60"/>
  <c r="G73" i="60" s="1"/>
  <c r="P73" i="60" s="1"/>
  <c r="M72" i="60"/>
  <c r="D72" i="60"/>
  <c r="G72" i="60" s="1"/>
  <c r="M71" i="60"/>
  <c r="D71" i="60"/>
  <c r="M70" i="60"/>
  <c r="D70" i="60"/>
  <c r="F70" i="60" s="1"/>
  <c r="H70" i="60" s="1"/>
  <c r="M69" i="60"/>
  <c r="D69" i="60"/>
  <c r="G69" i="60" s="1"/>
  <c r="M68" i="60"/>
  <c r="D68" i="60"/>
  <c r="G68" i="60" s="1"/>
  <c r="P68" i="60" s="1"/>
  <c r="M67" i="60"/>
  <c r="D67" i="60"/>
  <c r="M66" i="60"/>
  <c r="D66" i="60"/>
  <c r="M65" i="60"/>
  <c r="D65" i="60"/>
  <c r="M64" i="60"/>
  <c r="D64" i="60"/>
  <c r="G64" i="60" s="1"/>
  <c r="M63" i="60"/>
  <c r="D63" i="60"/>
  <c r="G63" i="60" s="1"/>
  <c r="P63" i="60" s="1"/>
  <c r="P62" i="60"/>
  <c r="M62" i="60"/>
  <c r="D62" i="60"/>
  <c r="M61" i="60"/>
  <c r="D61" i="60"/>
  <c r="M60" i="60"/>
  <c r="D60" i="60"/>
  <c r="M59" i="60"/>
  <c r="D59" i="60"/>
  <c r="F59" i="60" s="1"/>
  <c r="H59" i="60" s="1"/>
  <c r="M58" i="60"/>
  <c r="D58" i="60"/>
  <c r="G58" i="60" s="1"/>
  <c r="M57" i="60"/>
  <c r="D57" i="60"/>
  <c r="M56" i="60"/>
  <c r="D56" i="60"/>
  <c r="L51" i="60"/>
  <c r="K51" i="60"/>
  <c r="J51" i="60"/>
  <c r="I51" i="60"/>
  <c r="D51" i="60"/>
  <c r="M50" i="60"/>
  <c r="G50" i="60"/>
  <c r="H50" i="60" s="1"/>
  <c r="F50" i="60"/>
  <c r="M49" i="60"/>
  <c r="G49" i="60"/>
  <c r="F49" i="60"/>
  <c r="M48" i="60"/>
  <c r="G48" i="60"/>
  <c r="F48" i="60"/>
  <c r="M47" i="60"/>
  <c r="G47" i="60"/>
  <c r="F47" i="60"/>
  <c r="F51" i="60" s="1"/>
  <c r="L46" i="60"/>
  <c r="K46" i="60"/>
  <c r="J46" i="60"/>
  <c r="I46" i="60"/>
  <c r="D46" i="60"/>
  <c r="M45" i="60"/>
  <c r="M44" i="60"/>
  <c r="M43" i="60"/>
  <c r="M42" i="60"/>
  <c r="L41" i="60"/>
  <c r="K41" i="60"/>
  <c r="J41" i="60"/>
  <c r="I41" i="60"/>
  <c r="D41" i="60"/>
  <c r="M40" i="60"/>
  <c r="H40" i="60"/>
  <c r="G40" i="60"/>
  <c r="P40" i="60" s="1"/>
  <c r="F40" i="60"/>
  <c r="M39" i="60"/>
  <c r="G39" i="60"/>
  <c r="P39" i="60" s="1"/>
  <c r="F39" i="60"/>
  <c r="H39" i="60" s="1"/>
  <c r="M37" i="60"/>
  <c r="L36" i="60"/>
  <c r="K36" i="60"/>
  <c r="J36" i="60"/>
  <c r="I36" i="60"/>
  <c r="D36" i="60"/>
  <c r="M33" i="60"/>
  <c r="M32" i="60"/>
  <c r="M36" i="60" s="1"/>
  <c r="L29" i="60"/>
  <c r="K29" i="60"/>
  <c r="J29" i="60"/>
  <c r="I29" i="60"/>
  <c r="D29" i="60"/>
  <c r="M28" i="60"/>
  <c r="P28" i="60"/>
  <c r="M27" i="60"/>
  <c r="M26" i="60"/>
  <c r="M25" i="60"/>
  <c r="L24" i="60"/>
  <c r="K24" i="60"/>
  <c r="J24" i="60"/>
  <c r="I24" i="60"/>
  <c r="D24" i="60"/>
  <c r="P23" i="60"/>
  <c r="M23" i="60"/>
  <c r="P22" i="60"/>
  <c r="M22" i="60"/>
  <c r="M21" i="60"/>
  <c r="M20" i="60"/>
  <c r="L19" i="60"/>
  <c r="K19" i="60"/>
  <c r="J19" i="60"/>
  <c r="I19" i="60"/>
  <c r="D19" i="60"/>
  <c r="M18" i="60"/>
  <c r="M17" i="60"/>
  <c r="P17" i="60"/>
  <c r="M16" i="60"/>
  <c r="M15" i="60"/>
  <c r="L14" i="60"/>
  <c r="K14" i="60"/>
  <c r="J14" i="60"/>
  <c r="I14" i="60"/>
  <c r="D14" i="60"/>
  <c r="M13" i="60"/>
  <c r="M12" i="60"/>
  <c r="P12" i="60"/>
  <c r="M11" i="60"/>
  <c r="M10" i="60"/>
  <c r="L127" i="59"/>
  <c r="K127" i="59"/>
  <c r="J127" i="59"/>
  <c r="I127" i="59"/>
  <c r="D127" i="59"/>
  <c r="M126" i="59"/>
  <c r="P126" i="59"/>
  <c r="F126" i="59"/>
  <c r="M125" i="59"/>
  <c r="F125" i="59"/>
  <c r="L124" i="59"/>
  <c r="K124" i="59"/>
  <c r="J124" i="59"/>
  <c r="I124" i="59"/>
  <c r="D124" i="59"/>
  <c r="L116" i="59"/>
  <c r="K116" i="59"/>
  <c r="J116" i="59"/>
  <c r="I116" i="59"/>
  <c r="D116" i="59"/>
  <c r="M115" i="59"/>
  <c r="G115" i="59"/>
  <c r="P115" i="59" s="1"/>
  <c r="F115" i="59"/>
  <c r="H115" i="59" s="1"/>
  <c r="M114" i="59"/>
  <c r="G114" i="59"/>
  <c r="F114" i="59"/>
  <c r="L113" i="59"/>
  <c r="K113" i="59"/>
  <c r="J113" i="59"/>
  <c r="I113" i="59"/>
  <c r="D113" i="59"/>
  <c r="G101" i="59"/>
  <c r="G100" i="59"/>
  <c r="G98" i="59"/>
  <c r="G97" i="59"/>
  <c r="G96" i="59"/>
  <c r="G95" i="59"/>
  <c r="G94" i="59"/>
  <c r="D105" i="59"/>
  <c r="M104" i="59"/>
  <c r="G104" i="59"/>
  <c r="P104" i="59" s="1"/>
  <c r="F104" i="59"/>
  <c r="M103" i="59"/>
  <c r="M105" i="59" s="1"/>
  <c r="G103" i="59"/>
  <c r="P103" i="59" s="1"/>
  <c r="P105" i="59" s="1"/>
  <c r="F103" i="59"/>
  <c r="F105" i="59" s="1"/>
  <c r="L102" i="59"/>
  <c r="K102" i="59"/>
  <c r="J102" i="59"/>
  <c r="I102" i="59"/>
  <c r="D102" i="59"/>
  <c r="L91" i="59"/>
  <c r="K91" i="59"/>
  <c r="J91" i="59"/>
  <c r="I91" i="59"/>
  <c r="D91" i="59"/>
  <c r="M90" i="59"/>
  <c r="G90" i="59"/>
  <c r="P90" i="59" s="1"/>
  <c r="F90" i="59"/>
  <c r="M89" i="59"/>
  <c r="G89" i="59"/>
  <c r="P89" i="59" s="1"/>
  <c r="F89" i="59"/>
  <c r="L88" i="59"/>
  <c r="K88" i="59"/>
  <c r="J88" i="59"/>
  <c r="I88" i="59"/>
  <c r="D88" i="59"/>
  <c r="M87" i="59"/>
  <c r="P87" i="59"/>
  <c r="F87" i="59"/>
  <c r="M86" i="59"/>
  <c r="F86" i="59"/>
  <c r="L85" i="59"/>
  <c r="K85" i="59"/>
  <c r="J85" i="59"/>
  <c r="I85" i="59"/>
  <c r="D85" i="59"/>
  <c r="L74" i="59"/>
  <c r="K74" i="59"/>
  <c r="J74" i="59"/>
  <c r="I74" i="59"/>
  <c r="M73" i="59"/>
  <c r="D73" i="59"/>
  <c r="G73" i="59" s="1"/>
  <c r="M72" i="59"/>
  <c r="D72" i="59"/>
  <c r="D67" i="59"/>
  <c r="D63" i="59"/>
  <c r="D62" i="59"/>
  <c r="D60" i="59"/>
  <c r="D59" i="59"/>
  <c r="D58" i="59"/>
  <c r="D57" i="59"/>
  <c r="D56" i="59"/>
  <c r="D54" i="59"/>
  <c r="D53" i="59"/>
  <c r="D52" i="59"/>
  <c r="D51" i="59"/>
  <c r="D50" i="59"/>
  <c r="D49" i="59"/>
  <c r="D48" i="59"/>
  <c r="D47" i="59"/>
  <c r="M43" i="59"/>
  <c r="F43" i="59"/>
  <c r="M42" i="59"/>
  <c r="F42" i="59"/>
  <c r="L44" i="59"/>
  <c r="K44" i="59"/>
  <c r="J44" i="59"/>
  <c r="I44" i="59"/>
  <c r="L39" i="59"/>
  <c r="K39" i="59"/>
  <c r="J39" i="59"/>
  <c r="I39" i="59"/>
  <c r="L36" i="59"/>
  <c r="K36" i="59"/>
  <c r="J36" i="59"/>
  <c r="I36" i="59"/>
  <c r="P69" i="60" l="1"/>
  <c r="G105" i="59"/>
  <c r="H65" i="60"/>
  <c r="G81" i="60"/>
  <c r="G51" i="60"/>
  <c r="F77" i="60"/>
  <c r="F72" i="60"/>
  <c r="H72" i="60" s="1"/>
  <c r="H128" i="60"/>
  <c r="H133" i="60" s="1"/>
  <c r="H56" i="60"/>
  <c r="F78" i="60"/>
  <c r="H78" i="60" s="1"/>
  <c r="H41" i="60"/>
  <c r="F73" i="60"/>
  <c r="F68" i="60"/>
  <c r="H68" i="60" s="1"/>
  <c r="P66" i="60"/>
  <c r="P131" i="60"/>
  <c r="F58" i="60"/>
  <c r="H58" i="60" s="1"/>
  <c r="F63" i="60"/>
  <c r="H63" i="60" s="1"/>
  <c r="F74" i="60"/>
  <c r="H74" i="60" s="1"/>
  <c r="F79" i="60"/>
  <c r="H79" i="60" s="1"/>
  <c r="H108" i="60"/>
  <c r="H111" i="60" s="1"/>
  <c r="P15" i="60"/>
  <c r="H49" i="60"/>
  <c r="F100" i="60"/>
  <c r="H112" i="60"/>
  <c r="H114" i="60" s="1"/>
  <c r="M122" i="60"/>
  <c r="H33" i="60"/>
  <c r="H42" i="60"/>
  <c r="F69" i="60"/>
  <c r="H69" i="60" s="1"/>
  <c r="H91" i="60"/>
  <c r="P58" i="60"/>
  <c r="P72" i="60"/>
  <c r="F81" i="60"/>
  <c r="H81" i="60" s="1"/>
  <c r="H26" i="60"/>
  <c r="H29" i="60" s="1"/>
  <c r="H87" i="60"/>
  <c r="P74" i="60"/>
  <c r="P50" i="60"/>
  <c r="P51" i="60" s="1"/>
  <c r="H48" i="60"/>
  <c r="H134" i="60"/>
  <c r="P41" i="60"/>
  <c r="F24" i="60"/>
  <c r="G100" i="60"/>
  <c r="F64" i="60"/>
  <c r="H64" i="60" s="1"/>
  <c r="G56" i="60"/>
  <c r="G80" i="60" s="1"/>
  <c r="P11" i="60"/>
  <c r="H86" i="60"/>
  <c r="H94" i="60" s="1"/>
  <c r="H92" i="60"/>
  <c r="H132" i="60"/>
  <c r="M19" i="60"/>
  <c r="M51" i="60"/>
  <c r="M24" i="60"/>
  <c r="M133" i="60"/>
  <c r="M94" i="60"/>
  <c r="M80" i="60"/>
  <c r="M29" i="60"/>
  <c r="M14" i="60"/>
  <c r="G136" i="60"/>
  <c r="G111" i="60"/>
  <c r="P100" i="60"/>
  <c r="H95" i="60"/>
  <c r="H97" i="60" s="1"/>
  <c r="P95" i="60"/>
  <c r="P97" i="60"/>
  <c r="P65" i="60"/>
  <c r="H57" i="60"/>
  <c r="H61" i="60"/>
  <c r="H73" i="60"/>
  <c r="H77" i="60"/>
  <c r="P64" i="60"/>
  <c r="P42" i="60"/>
  <c r="P46" i="60" s="1"/>
  <c r="G41" i="60"/>
  <c r="P33" i="60"/>
  <c r="P36" i="60" s="1"/>
  <c r="P26" i="60"/>
  <c r="H20" i="60"/>
  <c r="H24" i="60" s="1"/>
  <c r="P20" i="60"/>
  <c r="G14" i="60"/>
  <c r="F14" i="60"/>
  <c r="G116" i="59"/>
  <c r="G127" i="59"/>
  <c r="P73" i="59"/>
  <c r="H35" i="59"/>
  <c r="M127" i="59"/>
  <c r="F127" i="59"/>
  <c r="P81" i="60"/>
  <c r="G122" i="60"/>
  <c r="G46" i="60"/>
  <c r="H47" i="60"/>
  <c r="F94" i="60"/>
  <c r="G125" i="60"/>
  <c r="P123" i="60"/>
  <c r="P125" i="60" s="1"/>
  <c r="H123" i="60"/>
  <c r="H125" i="60" s="1"/>
  <c r="F133" i="60"/>
  <c r="F138" i="60" s="1"/>
  <c r="P10" i="60"/>
  <c r="H19" i="60"/>
  <c r="F19" i="60"/>
  <c r="G24" i="60"/>
  <c r="P24" i="60" s="1"/>
  <c r="H36" i="60"/>
  <c r="F41" i="60"/>
  <c r="M46" i="60"/>
  <c r="G82" i="60"/>
  <c r="P82" i="60" s="1"/>
  <c r="F82" i="60"/>
  <c r="P89" i="60"/>
  <c r="P94" i="60" s="1"/>
  <c r="M111" i="60"/>
  <c r="P132" i="60"/>
  <c r="F46" i="60"/>
  <c r="H46" i="60"/>
  <c r="P104" i="60"/>
  <c r="P111" i="60" s="1"/>
  <c r="P120" i="60"/>
  <c r="H120" i="60"/>
  <c r="H122" i="60" s="1"/>
  <c r="F29" i="60"/>
  <c r="G36" i="60"/>
  <c r="H14" i="60"/>
  <c r="F36" i="60"/>
  <c r="M41" i="60"/>
  <c r="D80" i="60"/>
  <c r="H100" i="60"/>
  <c r="F111" i="60"/>
  <c r="P108" i="60"/>
  <c r="P128" i="60"/>
  <c r="G133" i="60"/>
  <c r="P135" i="60"/>
  <c r="H136" i="60"/>
  <c r="P16" i="60"/>
  <c r="P119" i="60"/>
  <c r="F122" i="60"/>
  <c r="P134" i="60"/>
  <c r="P125" i="59"/>
  <c r="P127" i="59" s="1"/>
  <c r="H126" i="59"/>
  <c r="H125" i="59"/>
  <c r="M116" i="59"/>
  <c r="P114" i="59"/>
  <c r="P116" i="59" s="1"/>
  <c r="H114" i="59"/>
  <c r="H116" i="59" s="1"/>
  <c r="F116" i="59"/>
  <c r="D74" i="59"/>
  <c r="H104" i="59"/>
  <c r="G102" i="59"/>
  <c r="H103" i="59"/>
  <c r="F88" i="59"/>
  <c r="M91" i="59"/>
  <c r="M88" i="59"/>
  <c r="P91" i="59"/>
  <c r="P88" i="59"/>
  <c r="G91" i="59"/>
  <c r="G88" i="59"/>
  <c r="H89" i="59"/>
  <c r="H90" i="59"/>
  <c r="F91" i="59"/>
  <c r="H87" i="59"/>
  <c r="H86" i="59"/>
  <c r="M74" i="59"/>
  <c r="G74" i="59"/>
  <c r="F72" i="59"/>
  <c r="F73" i="59"/>
  <c r="H73" i="59" s="1"/>
  <c r="H42" i="59"/>
  <c r="H43" i="59"/>
  <c r="P133" i="60" l="1"/>
  <c r="H51" i="60"/>
  <c r="P122" i="60"/>
  <c r="P56" i="60"/>
  <c r="P80" i="60" s="1"/>
  <c r="F83" i="60"/>
  <c r="H105" i="59"/>
  <c r="P136" i="60"/>
  <c r="H127" i="59"/>
  <c r="H80" i="60"/>
  <c r="F80" i="60"/>
  <c r="G83" i="60"/>
  <c r="G29" i="60"/>
  <c r="P29" i="60" s="1"/>
  <c r="P25" i="60"/>
  <c r="H82" i="60"/>
  <c r="H83" i="60" s="1"/>
  <c r="P83" i="60"/>
  <c r="P72" i="59"/>
  <c r="P74" i="59" s="1"/>
  <c r="H72" i="59"/>
  <c r="H74" i="59" s="1"/>
  <c r="H88" i="59"/>
  <c r="H91" i="59"/>
  <c r="F74" i="59"/>
  <c r="D44" i="59" l="1"/>
  <c r="D39" i="59"/>
  <c r="D36" i="59"/>
  <c r="L29" i="59"/>
  <c r="K29" i="59"/>
  <c r="J29" i="59"/>
  <c r="I29" i="59"/>
  <c r="L24" i="59"/>
  <c r="K24" i="59"/>
  <c r="J24" i="59"/>
  <c r="I24" i="59"/>
  <c r="L19" i="59"/>
  <c r="K19" i="59"/>
  <c r="J19" i="59"/>
  <c r="I19" i="59"/>
  <c r="L14" i="59"/>
  <c r="K14" i="59"/>
  <c r="J14" i="59"/>
  <c r="I14" i="59"/>
  <c r="D29" i="59"/>
  <c r="M28" i="59"/>
  <c r="G28" i="59"/>
  <c r="P28" i="59" s="1"/>
  <c r="F28" i="59"/>
  <c r="M27" i="59"/>
  <c r="G27" i="59"/>
  <c r="P27" i="59" s="1"/>
  <c r="F27" i="59"/>
  <c r="M26" i="59"/>
  <c r="P26" i="59"/>
  <c r="F26" i="59"/>
  <c r="M25" i="59"/>
  <c r="F25" i="59"/>
  <c r="G25" i="59" s="1"/>
  <c r="D24" i="59"/>
  <c r="D19" i="59"/>
  <c r="D14" i="59"/>
  <c r="H27" i="59" l="1"/>
  <c r="H28" i="59"/>
  <c r="G29" i="59"/>
  <c r="P29" i="59" s="1"/>
  <c r="F29" i="59"/>
  <c r="M29" i="59"/>
  <c r="P25" i="59"/>
  <c r="H25" i="59"/>
  <c r="H26" i="59"/>
  <c r="M123" i="59"/>
  <c r="P123" i="59"/>
  <c r="F123" i="59"/>
  <c r="M122" i="59"/>
  <c r="P122" i="59"/>
  <c r="F122" i="59"/>
  <c r="M121" i="59"/>
  <c r="P121" i="59"/>
  <c r="F121" i="59"/>
  <c r="M120" i="59"/>
  <c r="P120" i="59"/>
  <c r="F120" i="59"/>
  <c r="M119" i="59"/>
  <c r="F119" i="59"/>
  <c r="J128" i="59"/>
  <c r="M112" i="59"/>
  <c r="G112" i="59"/>
  <c r="F112" i="59"/>
  <c r="M111" i="59"/>
  <c r="G111" i="59"/>
  <c r="P111" i="59" s="1"/>
  <c r="F111" i="59"/>
  <c r="M110" i="59"/>
  <c r="G110" i="59"/>
  <c r="F110" i="59"/>
  <c r="M109" i="59"/>
  <c r="G109" i="59"/>
  <c r="F109" i="59"/>
  <c r="J106" i="59"/>
  <c r="M101" i="59"/>
  <c r="P101" i="59"/>
  <c r="F101" i="59"/>
  <c r="M100" i="59"/>
  <c r="P100" i="59"/>
  <c r="F100" i="59"/>
  <c r="M99" i="59"/>
  <c r="P99" i="59"/>
  <c r="F99" i="59"/>
  <c r="M98" i="59"/>
  <c r="P98" i="59"/>
  <c r="F98" i="59"/>
  <c r="M97" i="59"/>
  <c r="P97" i="59"/>
  <c r="F97" i="59"/>
  <c r="M96" i="59"/>
  <c r="P96" i="59"/>
  <c r="F96" i="59"/>
  <c r="M95" i="59"/>
  <c r="P95" i="59"/>
  <c r="F95" i="59"/>
  <c r="M94" i="59"/>
  <c r="F94" i="59"/>
  <c r="J92" i="59"/>
  <c r="M84" i="59"/>
  <c r="G84" i="59"/>
  <c r="P84" i="59" s="1"/>
  <c r="F84" i="59"/>
  <c r="P83" i="59"/>
  <c r="F83" i="59"/>
  <c r="M82" i="59"/>
  <c r="G82" i="59"/>
  <c r="P82" i="59" s="1"/>
  <c r="F82" i="59"/>
  <c r="M81" i="59"/>
  <c r="P81" i="59"/>
  <c r="F81" i="59"/>
  <c r="M80" i="59"/>
  <c r="P80" i="59"/>
  <c r="F80" i="59"/>
  <c r="M79" i="59"/>
  <c r="P79" i="59"/>
  <c r="F79" i="59"/>
  <c r="M78" i="59"/>
  <c r="G78" i="59"/>
  <c r="P78" i="59" s="1"/>
  <c r="F78" i="59"/>
  <c r="M77" i="59"/>
  <c r="F77" i="59"/>
  <c r="L71" i="59"/>
  <c r="K71" i="59"/>
  <c r="J71" i="59"/>
  <c r="I71" i="59"/>
  <c r="M70" i="59"/>
  <c r="D70" i="59"/>
  <c r="F70" i="59" s="1"/>
  <c r="M69" i="59"/>
  <c r="D69" i="59"/>
  <c r="G69" i="59" s="1"/>
  <c r="P69" i="59" s="1"/>
  <c r="M68" i="59"/>
  <c r="D68" i="59"/>
  <c r="F68" i="59" s="1"/>
  <c r="M67" i="59"/>
  <c r="M66" i="59"/>
  <c r="D66" i="59"/>
  <c r="M65" i="59"/>
  <c r="D65" i="59"/>
  <c r="F65" i="59" s="1"/>
  <c r="M64" i="59"/>
  <c r="D64" i="59"/>
  <c r="F64" i="59" s="1"/>
  <c r="M63" i="59"/>
  <c r="F63" i="59"/>
  <c r="M62" i="59"/>
  <c r="F62" i="59"/>
  <c r="M61" i="59"/>
  <c r="D61" i="59"/>
  <c r="G61" i="59" s="1"/>
  <c r="P61" i="59" s="1"/>
  <c r="M60" i="59"/>
  <c r="F60" i="59"/>
  <c r="M59" i="59"/>
  <c r="M58" i="59"/>
  <c r="M57" i="59"/>
  <c r="F57" i="59"/>
  <c r="M56" i="59"/>
  <c r="F56" i="59"/>
  <c r="M55" i="59"/>
  <c r="D55" i="59"/>
  <c r="F55" i="59" s="1"/>
  <c r="M54" i="59"/>
  <c r="M53" i="59"/>
  <c r="F53" i="59"/>
  <c r="M52" i="59"/>
  <c r="F52" i="59"/>
  <c r="M51" i="59"/>
  <c r="F51" i="59"/>
  <c r="M50" i="59"/>
  <c r="M49" i="59"/>
  <c r="M48" i="59"/>
  <c r="G48" i="59"/>
  <c r="P48" i="59" s="1"/>
  <c r="M47" i="59"/>
  <c r="F47" i="59"/>
  <c r="M41" i="59"/>
  <c r="P41" i="59"/>
  <c r="F41" i="59"/>
  <c r="M40" i="59"/>
  <c r="F40" i="59"/>
  <c r="F38" i="59"/>
  <c r="M37" i="59"/>
  <c r="F37" i="59"/>
  <c r="F34" i="59"/>
  <c r="M33" i="59"/>
  <c r="F33" i="59"/>
  <c r="M32" i="59"/>
  <c r="F32" i="59"/>
  <c r="M23" i="59"/>
  <c r="G23" i="59"/>
  <c r="P23" i="59" s="1"/>
  <c r="F23" i="59"/>
  <c r="M22" i="59"/>
  <c r="P22" i="59"/>
  <c r="F22" i="59"/>
  <c r="M21" i="59"/>
  <c r="G21" i="59"/>
  <c r="P21" i="59" s="1"/>
  <c r="F21" i="59"/>
  <c r="M20" i="59"/>
  <c r="F20" i="59"/>
  <c r="G20" i="59" s="1"/>
  <c r="M18" i="59"/>
  <c r="P18" i="59"/>
  <c r="F18" i="59"/>
  <c r="M17" i="59"/>
  <c r="P17" i="59"/>
  <c r="F17" i="59"/>
  <c r="M16" i="59"/>
  <c r="P16" i="59"/>
  <c r="F16" i="59"/>
  <c r="M15" i="59"/>
  <c r="F15" i="59"/>
  <c r="M13" i="59"/>
  <c r="P13" i="59"/>
  <c r="F13" i="59"/>
  <c r="M12" i="59"/>
  <c r="P12" i="59"/>
  <c r="F12" i="59"/>
  <c r="M11" i="59"/>
  <c r="P11" i="59"/>
  <c r="F11" i="59"/>
  <c r="M10" i="59"/>
  <c r="F10" i="59"/>
  <c r="F124" i="59" l="1"/>
  <c r="F129" i="59" s="1"/>
  <c r="P119" i="59"/>
  <c r="P124" i="59" s="1"/>
  <c r="G124" i="59"/>
  <c r="M124" i="59"/>
  <c r="F113" i="59"/>
  <c r="M113" i="59"/>
  <c r="P112" i="59"/>
  <c r="G113" i="59"/>
  <c r="M102" i="59"/>
  <c r="F102" i="59"/>
  <c r="F85" i="59"/>
  <c r="P77" i="59"/>
  <c r="P85" i="59" s="1"/>
  <c r="G85" i="59"/>
  <c r="H33" i="59"/>
  <c r="H38" i="59"/>
  <c r="M85" i="59"/>
  <c r="H80" i="59"/>
  <c r="H98" i="59"/>
  <c r="H112" i="59"/>
  <c r="F36" i="59"/>
  <c r="H29" i="59"/>
  <c r="H13" i="59"/>
  <c r="H22" i="59"/>
  <c r="H100" i="59"/>
  <c r="M36" i="59"/>
  <c r="H81" i="59"/>
  <c r="H99" i="59"/>
  <c r="H122" i="59"/>
  <c r="F14" i="59"/>
  <c r="F19" i="59"/>
  <c r="G36" i="59"/>
  <c r="P36" i="59" s="1"/>
  <c r="H37" i="59"/>
  <c r="F39" i="59"/>
  <c r="F44" i="59"/>
  <c r="P10" i="59"/>
  <c r="G14" i="59"/>
  <c r="P15" i="59"/>
  <c r="G19" i="59"/>
  <c r="G39" i="59"/>
  <c r="P39" i="59" s="1"/>
  <c r="G44" i="59"/>
  <c r="P44" i="59" s="1"/>
  <c r="G65" i="59"/>
  <c r="P65" i="59" s="1"/>
  <c r="H17" i="59"/>
  <c r="H18" i="59"/>
  <c r="H20" i="59"/>
  <c r="F24" i="59"/>
  <c r="M39" i="59"/>
  <c r="M44" i="59"/>
  <c r="H79" i="59"/>
  <c r="H109" i="59"/>
  <c r="M19" i="59"/>
  <c r="M24" i="59"/>
  <c r="M14" i="59"/>
  <c r="H34" i="59"/>
  <c r="G55" i="59"/>
  <c r="P55" i="59" s="1"/>
  <c r="G64" i="59"/>
  <c r="P64" i="59" s="1"/>
  <c r="G57" i="59"/>
  <c r="P57" i="59" s="1"/>
  <c r="G53" i="59"/>
  <c r="P53" i="59" s="1"/>
  <c r="G56" i="59"/>
  <c r="P56" i="59" s="1"/>
  <c r="H78" i="59"/>
  <c r="H82" i="59"/>
  <c r="H94" i="59"/>
  <c r="H101" i="59"/>
  <c r="H111" i="59"/>
  <c r="H123" i="59"/>
  <c r="H41" i="59"/>
  <c r="F49" i="59"/>
  <c r="G52" i="59"/>
  <c r="P52" i="59" s="1"/>
  <c r="G63" i="59"/>
  <c r="P63" i="59" s="1"/>
  <c r="H97" i="59"/>
  <c r="H119" i="59"/>
  <c r="H121" i="59"/>
  <c r="G47" i="59"/>
  <c r="P47" i="59" s="1"/>
  <c r="G49" i="59"/>
  <c r="P49" i="59" s="1"/>
  <c r="F50" i="59"/>
  <c r="H21" i="59"/>
  <c r="H40" i="59"/>
  <c r="M71" i="59"/>
  <c r="G50" i="59"/>
  <c r="P50" i="59" s="1"/>
  <c r="H84" i="59"/>
  <c r="P94" i="59"/>
  <c r="P102" i="59" s="1"/>
  <c r="H96" i="59"/>
  <c r="P109" i="59"/>
  <c r="H120" i="59"/>
  <c r="H15" i="59"/>
  <c r="H10" i="59"/>
  <c r="H32" i="59"/>
  <c r="G54" i="59"/>
  <c r="P54" i="59" s="1"/>
  <c r="F54" i="59"/>
  <c r="F48" i="59"/>
  <c r="H48" i="59" s="1"/>
  <c r="G59" i="59"/>
  <c r="P59" i="59" s="1"/>
  <c r="F59" i="59"/>
  <c r="F66" i="59"/>
  <c r="G66" i="59"/>
  <c r="P66" i="59" s="1"/>
  <c r="H11" i="59"/>
  <c r="H12" i="59"/>
  <c r="F58" i="59"/>
  <c r="G58" i="59"/>
  <c r="P58" i="59" s="1"/>
  <c r="G67" i="59"/>
  <c r="P67" i="59" s="1"/>
  <c r="F67" i="59"/>
  <c r="P110" i="59"/>
  <c r="H110" i="59"/>
  <c r="G60" i="59"/>
  <c r="P60" i="59" s="1"/>
  <c r="F61" i="59"/>
  <c r="H61" i="59" s="1"/>
  <c r="G68" i="59"/>
  <c r="P68" i="59" s="1"/>
  <c r="F69" i="59"/>
  <c r="H69" i="59" s="1"/>
  <c r="H77" i="59"/>
  <c r="H16" i="59"/>
  <c r="H23" i="59"/>
  <c r="G51" i="59"/>
  <c r="G62" i="59"/>
  <c r="G70" i="59"/>
  <c r="D71" i="59"/>
  <c r="H83" i="59"/>
  <c r="H95" i="59"/>
  <c r="G116" i="58"/>
  <c r="G115" i="58"/>
  <c r="P115" i="58" s="1"/>
  <c r="G114" i="58"/>
  <c r="P114" i="58" s="1"/>
  <c r="G113" i="58"/>
  <c r="P113" i="58" s="1"/>
  <c r="G112" i="58"/>
  <c r="G111" i="58"/>
  <c r="P111" i="58" s="1"/>
  <c r="G110" i="58"/>
  <c r="G109" i="58"/>
  <c r="G106" i="58"/>
  <c r="G105" i="58"/>
  <c r="G104" i="58"/>
  <c r="G103" i="58"/>
  <c r="G102" i="58"/>
  <c r="P102" i="58" s="1"/>
  <c r="G101" i="58"/>
  <c r="P101" i="58" s="1"/>
  <c r="G100" i="58"/>
  <c r="P100" i="58" s="1"/>
  <c r="G99" i="58"/>
  <c r="G98" i="58"/>
  <c r="G94" i="58"/>
  <c r="P94" i="58" s="1"/>
  <c r="G93" i="58"/>
  <c r="G92" i="58"/>
  <c r="P92" i="58" s="1"/>
  <c r="G91" i="58"/>
  <c r="P91" i="58" s="1"/>
  <c r="G90" i="58"/>
  <c r="P90" i="58" s="1"/>
  <c r="G89" i="58"/>
  <c r="G88" i="58"/>
  <c r="H88" i="58" s="1"/>
  <c r="G87" i="58"/>
  <c r="P87" i="58" s="1"/>
  <c r="G86" i="58"/>
  <c r="P86" i="58" s="1"/>
  <c r="G83" i="58"/>
  <c r="P83" i="58" s="1"/>
  <c r="G82" i="58"/>
  <c r="P82" i="58" s="1"/>
  <c r="G81" i="58"/>
  <c r="G79" i="58"/>
  <c r="P79" i="58" s="1"/>
  <c r="G78" i="58"/>
  <c r="G77" i="58"/>
  <c r="G76" i="58"/>
  <c r="G74" i="58"/>
  <c r="G71" i="58"/>
  <c r="P71" i="58" s="1"/>
  <c r="G67" i="58"/>
  <c r="P67" i="58" s="1"/>
  <c r="G66" i="58"/>
  <c r="G65" i="58"/>
  <c r="P65" i="58" s="1"/>
  <c r="G64" i="58"/>
  <c r="G61" i="58"/>
  <c r="P61" i="58" s="1"/>
  <c r="G60" i="58"/>
  <c r="G51" i="58"/>
  <c r="G50" i="58"/>
  <c r="P50" i="58" s="1"/>
  <c r="G49" i="58"/>
  <c r="G45" i="58"/>
  <c r="G38" i="58"/>
  <c r="P38" i="58" s="1"/>
  <c r="G35" i="58"/>
  <c r="G34" i="58"/>
  <c r="G32" i="58"/>
  <c r="P32" i="58" s="1"/>
  <c r="G23" i="58"/>
  <c r="P23" i="58" s="1"/>
  <c r="F22" i="58"/>
  <c r="H22" i="58" s="1"/>
  <c r="F21" i="58"/>
  <c r="H21" i="58" s="1"/>
  <c r="F20" i="58"/>
  <c r="H20" i="58" s="1"/>
  <c r="F19" i="58"/>
  <c r="F18" i="58"/>
  <c r="G18" i="58" s="1"/>
  <c r="F17" i="58"/>
  <c r="F16" i="58"/>
  <c r="F15" i="58"/>
  <c r="F14" i="58"/>
  <c r="H14" i="58" s="1"/>
  <c r="F13" i="58"/>
  <c r="H13" i="58" s="1"/>
  <c r="F12" i="58"/>
  <c r="H12" i="58" s="1"/>
  <c r="F11" i="58"/>
  <c r="F10" i="58"/>
  <c r="H10" i="58" s="1"/>
  <c r="G22" i="58"/>
  <c r="P22" i="58" s="1"/>
  <c r="G20" i="58"/>
  <c r="G24" i="58" s="1"/>
  <c r="G19" i="58"/>
  <c r="G17" i="58"/>
  <c r="P17" i="58" s="1"/>
  <c r="G16" i="58"/>
  <c r="G15" i="58"/>
  <c r="G14" i="58"/>
  <c r="G13" i="58"/>
  <c r="G12" i="58"/>
  <c r="P12" i="58" s="1"/>
  <c r="G11" i="58"/>
  <c r="P11" i="58" s="1"/>
  <c r="G10" i="58"/>
  <c r="P10" i="58" s="1"/>
  <c r="J117" i="58"/>
  <c r="I117" i="58"/>
  <c r="D117" i="58"/>
  <c r="M116" i="58"/>
  <c r="F116" i="58"/>
  <c r="M115" i="58"/>
  <c r="F115" i="58"/>
  <c r="H115" i="58" s="1"/>
  <c r="M114" i="58"/>
  <c r="F114" i="58"/>
  <c r="M113" i="58"/>
  <c r="F113" i="58"/>
  <c r="H113" i="58" s="1"/>
  <c r="M112" i="58"/>
  <c r="H112" i="58"/>
  <c r="F112" i="58"/>
  <c r="M111" i="58"/>
  <c r="F111" i="58"/>
  <c r="H111" i="58" s="1"/>
  <c r="P110" i="58"/>
  <c r="M110" i="58"/>
  <c r="F110" i="58"/>
  <c r="H110" i="58" s="1"/>
  <c r="P109" i="58"/>
  <c r="M109" i="58"/>
  <c r="F109" i="58"/>
  <c r="L107" i="58"/>
  <c r="L117" i="58" s="1"/>
  <c r="K107" i="58"/>
  <c r="K117" i="58" s="1"/>
  <c r="J107" i="58"/>
  <c r="I107" i="58"/>
  <c r="D107" i="58"/>
  <c r="P106" i="58"/>
  <c r="M106" i="58"/>
  <c r="F106" i="58"/>
  <c r="H106" i="58" s="1"/>
  <c r="P105" i="58"/>
  <c r="M105" i="58"/>
  <c r="F105" i="58"/>
  <c r="H105" i="58" s="1"/>
  <c r="P104" i="58"/>
  <c r="F104" i="58"/>
  <c r="H104" i="58" s="1"/>
  <c r="M103" i="58"/>
  <c r="F103" i="58"/>
  <c r="H103" i="58" s="1"/>
  <c r="M102" i="58"/>
  <c r="F102" i="58"/>
  <c r="H102" i="58" s="1"/>
  <c r="M101" i="58"/>
  <c r="F101" i="58"/>
  <c r="F100" i="58"/>
  <c r="P99" i="58"/>
  <c r="M99" i="58"/>
  <c r="F99" i="58"/>
  <c r="M98" i="58"/>
  <c r="F98" i="58"/>
  <c r="H98" i="58" s="1"/>
  <c r="L95" i="58"/>
  <c r="K95" i="58"/>
  <c r="J95" i="58"/>
  <c r="I95" i="58"/>
  <c r="D95" i="58"/>
  <c r="M94" i="58"/>
  <c r="F94" i="58"/>
  <c r="H94" i="58" s="1"/>
  <c r="M93" i="58"/>
  <c r="F93" i="58"/>
  <c r="M92" i="58"/>
  <c r="F92" i="58"/>
  <c r="H92" i="58" s="1"/>
  <c r="M91" i="58"/>
  <c r="F91" i="58"/>
  <c r="H91" i="58" s="1"/>
  <c r="M90" i="58"/>
  <c r="F90" i="58"/>
  <c r="M89" i="58"/>
  <c r="F89" i="58"/>
  <c r="H89" i="58" s="1"/>
  <c r="M88" i="58"/>
  <c r="F88" i="58"/>
  <c r="M87" i="58"/>
  <c r="F87" i="58"/>
  <c r="M86" i="58"/>
  <c r="F86" i="58"/>
  <c r="L84" i="58"/>
  <c r="K84" i="58"/>
  <c r="J84" i="58"/>
  <c r="I84" i="58"/>
  <c r="D84" i="58"/>
  <c r="M83" i="58"/>
  <c r="F83" i="58"/>
  <c r="M82" i="58"/>
  <c r="F82" i="58"/>
  <c r="M81" i="58"/>
  <c r="F81" i="58"/>
  <c r="H81" i="58" s="1"/>
  <c r="G80" i="58"/>
  <c r="P80" i="58" s="1"/>
  <c r="F80" i="58"/>
  <c r="M79" i="58"/>
  <c r="F79" i="58"/>
  <c r="H79" i="58" s="1"/>
  <c r="P78" i="58"/>
  <c r="M78" i="58"/>
  <c r="F78" i="58"/>
  <c r="H78" i="58" s="1"/>
  <c r="P77" i="58"/>
  <c r="M77" i="58"/>
  <c r="F77" i="58"/>
  <c r="M76" i="58"/>
  <c r="H76" i="58"/>
  <c r="F76" i="58"/>
  <c r="M75" i="58"/>
  <c r="G75" i="58"/>
  <c r="P75" i="58" s="1"/>
  <c r="F75" i="58"/>
  <c r="H75" i="58" s="1"/>
  <c r="P74" i="58"/>
  <c r="M74" i="58"/>
  <c r="F74" i="58"/>
  <c r="L72" i="58"/>
  <c r="K72" i="58"/>
  <c r="J72" i="58"/>
  <c r="I72" i="58"/>
  <c r="M71" i="58"/>
  <c r="F71" i="58"/>
  <c r="H71" i="58" s="1"/>
  <c r="M70" i="58"/>
  <c r="D70" i="58"/>
  <c r="G70" i="58" s="1"/>
  <c r="P70" i="58" s="1"/>
  <c r="M69" i="58"/>
  <c r="D69" i="58"/>
  <c r="F69" i="58" s="1"/>
  <c r="M68" i="58"/>
  <c r="D68" i="58"/>
  <c r="G68" i="58" s="1"/>
  <c r="M67" i="58"/>
  <c r="D67" i="58"/>
  <c r="F67" i="58" s="1"/>
  <c r="M66" i="58"/>
  <c r="D66" i="58"/>
  <c r="M65" i="58"/>
  <c r="D65" i="58"/>
  <c r="F65" i="58" s="1"/>
  <c r="M64" i="58"/>
  <c r="D64" i="58"/>
  <c r="M63" i="58"/>
  <c r="D63" i="58"/>
  <c r="F63" i="58" s="1"/>
  <c r="M62" i="58"/>
  <c r="D62" i="58"/>
  <c r="G62" i="58" s="1"/>
  <c r="P62" i="58" s="1"/>
  <c r="M61" i="58"/>
  <c r="D61" i="58"/>
  <c r="F61" i="58" s="1"/>
  <c r="M60" i="58"/>
  <c r="D60" i="58"/>
  <c r="M59" i="58"/>
  <c r="D59" i="58"/>
  <c r="F59" i="58" s="1"/>
  <c r="M58" i="58"/>
  <c r="D58" i="58"/>
  <c r="G58" i="58" s="1"/>
  <c r="M57" i="58"/>
  <c r="D57" i="58"/>
  <c r="F57" i="58" s="1"/>
  <c r="M56" i="58"/>
  <c r="D56" i="58"/>
  <c r="M55" i="58"/>
  <c r="M54" i="58"/>
  <c r="D54" i="58"/>
  <c r="F54" i="58" s="1"/>
  <c r="M53" i="58"/>
  <c r="D53" i="58"/>
  <c r="G53" i="58" s="1"/>
  <c r="P53" i="58" s="1"/>
  <c r="M52" i="58"/>
  <c r="M51" i="58"/>
  <c r="D51" i="58"/>
  <c r="F52" i="58" s="1"/>
  <c r="M50" i="58"/>
  <c r="D50" i="58"/>
  <c r="G52" i="58" s="1"/>
  <c r="P52" i="58" s="1"/>
  <c r="M49" i="58"/>
  <c r="D49" i="58"/>
  <c r="M48" i="58"/>
  <c r="M47" i="58"/>
  <c r="D47" i="58"/>
  <c r="F47" i="58" s="1"/>
  <c r="M46" i="58"/>
  <c r="T45" i="58"/>
  <c r="M45" i="58"/>
  <c r="D45" i="58"/>
  <c r="F45" i="58" s="1"/>
  <c r="M44" i="58"/>
  <c r="D44" i="58"/>
  <c r="F44" i="58" s="1"/>
  <c r="M43" i="58"/>
  <c r="M42" i="58"/>
  <c r="D42" i="58"/>
  <c r="F43" i="58" s="1"/>
  <c r="L40" i="58"/>
  <c r="K40" i="58"/>
  <c r="J40" i="58"/>
  <c r="I40" i="58"/>
  <c r="D40" i="58"/>
  <c r="M39" i="58"/>
  <c r="G39" i="58"/>
  <c r="P39" i="58" s="1"/>
  <c r="F39" i="58"/>
  <c r="H39" i="58" s="1"/>
  <c r="M38" i="58"/>
  <c r="F38" i="58"/>
  <c r="M37" i="58"/>
  <c r="G37" i="58"/>
  <c r="P37" i="58" s="1"/>
  <c r="F37" i="58"/>
  <c r="G36" i="58"/>
  <c r="P36" i="58" s="1"/>
  <c r="F36" i="58"/>
  <c r="H36" i="58" s="1"/>
  <c r="M35" i="58"/>
  <c r="P35" i="58"/>
  <c r="F35" i="58"/>
  <c r="H35" i="58" s="1"/>
  <c r="P34" i="58"/>
  <c r="F34" i="58"/>
  <c r="H34" i="58" s="1"/>
  <c r="M33" i="58"/>
  <c r="G33" i="58"/>
  <c r="P33" i="58" s="1"/>
  <c r="F33" i="58"/>
  <c r="M32" i="58"/>
  <c r="F32" i="58"/>
  <c r="L24" i="58"/>
  <c r="K24" i="58"/>
  <c r="J24" i="58"/>
  <c r="I24" i="58"/>
  <c r="D24" i="58"/>
  <c r="M23" i="58"/>
  <c r="F23" i="58"/>
  <c r="M22" i="58"/>
  <c r="M21" i="58"/>
  <c r="G21" i="58"/>
  <c r="P21" i="58" s="1"/>
  <c r="M20" i="58"/>
  <c r="M19" i="58"/>
  <c r="P19" i="58"/>
  <c r="M18" i="58"/>
  <c r="M17" i="58"/>
  <c r="M16" i="58"/>
  <c r="H16" i="58"/>
  <c r="P16" i="58"/>
  <c r="M15" i="58"/>
  <c r="P15" i="58"/>
  <c r="P14" i="58"/>
  <c r="M14" i="58"/>
  <c r="M13" i="58"/>
  <c r="P13" i="58"/>
  <c r="M12" i="58"/>
  <c r="M11" i="58"/>
  <c r="M10" i="58"/>
  <c r="G63" i="58" l="1"/>
  <c r="P63" i="58" s="1"/>
  <c r="H19" i="58"/>
  <c r="G47" i="58"/>
  <c r="P47" i="58" s="1"/>
  <c r="P20" i="58"/>
  <c r="P64" i="58"/>
  <c r="F95" i="58"/>
  <c r="F84" i="58"/>
  <c r="G44" i="58"/>
  <c r="P44" i="58" s="1"/>
  <c r="P60" i="58"/>
  <c r="H114" i="58"/>
  <c r="H87" i="58"/>
  <c r="H61" i="58"/>
  <c r="G55" i="58"/>
  <c r="P55" i="58" s="1"/>
  <c r="H17" i="58"/>
  <c r="G57" i="58"/>
  <c r="P57" i="58" s="1"/>
  <c r="H67" i="58"/>
  <c r="P88" i="58"/>
  <c r="M107" i="58"/>
  <c r="M117" i="58" s="1"/>
  <c r="G42" i="58"/>
  <c r="M72" i="58"/>
  <c r="F53" i="58"/>
  <c r="H53" i="58" s="1"/>
  <c r="H59" i="58"/>
  <c r="G48" i="58"/>
  <c r="P48" i="58" s="1"/>
  <c r="G69" i="58"/>
  <c r="P69" i="58" s="1"/>
  <c r="P49" i="58"/>
  <c r="H65" i="58"/>
  <c r="H82" i="58"/>
  <c r="H116" i="58"/>
  <c r="G54" i="58"/>
  <c r="P54" i="58" s="1"/>
  <c r="P56" i="58"/>
  <c r="H32" i="58"/>
  <c r="P66" i="58"/>
  <c r="F107" i="58"/>
  <c r="G56" i="58"/>
  <c r="M40" i="58"/>
  <c r="H37" i="58"/>
  <c r="F46" i="58"/>
  <c r="H46" i="58" s="1"/>
  <c r="H99" i="58"/>
  <c r="G43" i="58"/>
  <c r="P43" i="58" s="1"/>
  <c r="G59" i="58"/>
  <c r="P59" i="58" s="1"/>
  <c r="H93" i="58"/>
  <c r="H124" i="59"/>
  <c r="H113" i="59"/>
  <c r="P113" i="59"/>
  <c r="H102" i="59"/>
  <c r="H36" i="59"/>
  <c r="H85" i="59"/>
  <c r="H53" i="59"/>
  <c r="H64" i="59"/>
  <c r="H56" i="59"/>
  <c r="H19" i="59"/>
  <c r="H24" i="59"/>
  <c r="H39" i="59"/>
  <c r="H47" i="59"/>
  <c r="H14" i="59"/>
  <c r="H57" i="59"/>
  <c r="H44" i="59"/>
  <c r="H65" i="59"/>
  <c r="P20" i="59"/>
  <c r="G24" i="59"/>
  <c r="P24" i="59" s="1"/>
  <c r="H60" i="59"/>
  <c r="H59" i="59"/>
  <c r="H50" i="59"/>
  <c r="H55" i="59"/>
  <c r="H63" i="59"/>
  <c r="H52" i="59"/>
  <c r="H54" i="59"/>
  <c r="H49" i="59"/>
  <c r="P62" i="59"/>
  <c r="H62" i="59"/>
  <c r="F71" i="59"/>
  <c r="H58" i="59"/>
  <c r="H68" i="59"/>
  <c r="H66" i="59"/>
  <c r="P70" i="59"/>
  <c r="H70" i="59"/>
  <c r="P51" i="59"/>
  <c r="H51" i="59"/>
  <c r="H67" i="59"/>
  <c r="G71" i="59"/>
  <c r="M24" i="58"/>
  <c r="M84" i="58"/>
  <c r="M95" i="58"/>
  <c r="G117" i="58"/>
  <c r="H101" i="58"/>
  <c r="H100" i="58"/>
  <c r="H107" i="58" s="1"/>
  <c r="H90" i="58"/>
  <c r="G95" i="58"/>
  <c r="H83" i="58"/>
  <c r="H77" i="58"/>
  <c r="P68" i="58"/>
  <c r="P58" i="58"/>
  <c r="P40" i="58"/>
  <c r="H38" i="58"/>
  <c r="H52" i="58"/>
  <c r="G40" i="58"/>
  <c r="H11" i="58"/>
  <c r="H15" i="58"/>
  <c r="H23" i="58"/>
  <c r="F24" i="58"/>
  <c r="H24" i="58" s="1"/>
  <c r="H33" i="58"/>
  <c r="F40" i="58"/>
  <c r="P45" i="58"/>
  <c r="F48" i="58"/>
  <c r="H48" i="58" s="1"/>
  <c r="F50" i="58"/>
  <c r="H50" i="58" s="1"/>
  <c r="F55" i="58"/>
  <c r="H55" i="58" s="1"/>
  <c r="D72" i="58"/>
  <c r="H74" i="58"/>
  <c r="P76" i="58"/>
  <c r="P81" i="58"/>
  <c r="P89" i="58"/>
  <c r="P93" i="58"/>
  <c r="P98" i="58"/>
  <c r="P103" i="58"/>
  <c r="P112" i="58"/>
  <c r="P116" i="58"/>
  <c r="G84" i="58"/>
  <c r="G107" i="58"/>
  <c r="P18" i="58"/>
  <c r="P24" i="58" s="1"/>
  <c r="F42" i="58"/>
  <c r="H42" i="58" s="1"/>
  <c r="G46" i="58"/>
  <c r="P46" i="58" s="1"/>
  <c r="F49" i="58"/>
  <c r="F51" i="58"/>
  <c r="F56" i="58"/>
  <c r="H56" i="58" s="1"/>
  <c r="F58" i="58"/>
  <c r="H58" i="58" s="1"/>
  <c r="F60" i="58"/>
  <c r="H60" i="58" s="1"/>
  <c r="F62" i="58"/>
  <c r="H62" i="58" s="1"/>
  <c r="F64" i="58"/>
  <c r="H64" i="58" s="1"/>
  <c r="F66" i="58"/>
  <c r="H66" i="58" s="1"/>
  <c r="F68" i="58"/>
  <c r="H68" i="58" s="1"/>
  <c r="F70" i="58"/>
  <c r="H70" i="58" s="1"/>
  <c r="H80" i="58"/>
  <c r="F117" i="58"/>
  <c r="F118" i="58" s="1"/>
  <c r="P51" i="58"/>
  <c r="H86" i="58"/>
  <c r="H109" i="58"/>
  <c r="G116" i="57"/>
  <c r="G115" i="57"/>
  <c r="G113" i="57"/>
  <c r="G112" i="57"/>
  <c r="P112" i="57" s="1"/>
  <c r="G111" i="57"/>
  <c r="P111" i="57" s="1"/>
  <c r="G110" i="57"/>
  <c r="G109" i="57"/>
  <c r="P109" i="57" s="1"/>
  <c r="G106" i="57"/>
  <c r="P106" i="57" s="1"/>
  <c r="G104" i="57"/>
  <c r="G101" i="57"/>
  <c r="P101" i="57" s="1"/>
  <c r="G100" i="57"/>
  <c r="G99" i="57"/>
  <c r="G98" i="57"/>
  <c r="G93" i="57"/>
  <c r="P93" i="57" s="1"/>
  <c r="G92" i="57"/>
  <c r="G91" i="57"/>
  <c r="G90" i="57"/>
  <c r="G89" i="57"/>
  <c r="P89" i="57" s="1"/>
  <c r="G88" i="57"/>
  <c r="P88" i="57" s="1"/>
  <c r="G87" i="57"/>
  <c r="P87" i="57" s="1"/>
  <c r="G86" i="57"/>
  <c r="G83" i="57"/>
  <c r="P83" i="57" s="1"/>
  <c r="G82" i="57"/>
  <c r="G81" i="57"/>
  <c r="P81" i="57" s="1"/>
  <c r="G80" i="57"/>
  <c r="P80" i="57" s="1"/>
  <c r="G79" i="57"/>
  <c r="P79" i="57" s="1"/>
  <c r="G78" i="57"/>
  <c r="P78" i="57" s="1"/>
  <c r="G77" i="57"/>
  <c r="P77" i="57" s="1"/>
  <c r="G76" i="57"/>
  <c r="P76" i="57" s="1"/>
  <c r="G75" i="57"/>
  <c r="P75" i="57" s="1"/>
  <c r="G74" i="57"/>
  <c r="F39" i="57"/>
  <c r="F38" i="57"/>
  <c r="F37" i="57"/>
  <c r="F36" i="57"/>
  <c r="F35" i="57"/>
  <c r="F34" i="57"/>
  <c r="F33" i="57"/>
  <c r="F32" i="57"/>
  <c r="G39" i="57"/>
  <c r="G38" i="57"/>
  <c r="P38" i="57" s="1"/>
  <c r="G37" i="57"/>
  <c r="P37" i="57" s="1"/>
  <c r="G36" i="57"/>
  <c r="P36" i="57" s="1"/>
  <c r="G35" i="57"/>
  <c r="P35" i="57" s="1"/>
  <c r="G34" i="57"/>
  <c r="P34" i="57" s="1"/>
  <c r="G32" i="57"/>
  <c r="F21" i="57"/>
  <c r="F20" i="57"/>
  <c r="F19" i="57"/>
  <c r="F18" i="57"/>
  <c r="G18" i="57" s="1"/>
  <c r="P18" i="57" s="1"/>
  <c r="F17" i="57"/>
  <c r="F16" i="57"/>
  <c r="F15" i="57"/>
  <c r="F14" i="57"/>
  <c r="F13" i="57"/>
  <c r="F12" i="57"/>
  <c r="F11" i="57"/>
  <c r="F10" i="57"/>
  <c r="G23" i="57"/>
  <c r="P23" i="57" s="1"/>
  <c r="G22" i="57"/>
  <c r="P22" i="57" s="1"/>
  <c r="G21" i="57"/>
  <c r="P21" i="57" s="1"/>
  <c r="G20" i="57"/>
  <c r="P20" i="57" s="1"/>
  <c r="G17" i="57"/>
  <c r="P17" i="57" s="1"/>
  <c r="G16" i="57"/>
  <c r="P16" i="57" s="1"/>
  <c r="G15" i="57"/>
  <c r="P15" i="57" s="1"/>
  <c r="G14" i="57"/>
  <c r="P14" i="57" s="1"/>
  <c r="G13" i="57"/>
  <c r="P13" i="57" s="1"/>
  <c r="G12" i="57"/>
  <c r="P12" i="57" s="1"/>
  <c r="G11" i="57"/>
  <c r="P11" i="57" s="1"/>
  <c r="G10" i="57"/>
  <c r="D117" i="57"/>
  <c r="M116" i="57"/>
  <c r="P116" i="57"/>
  <c r="F116" i="57"/>
  <c r="M115" i="57"/>
  <c r="P115" i="57"/>
  <c r="F115" i="57"/>
  <c r="M114" i="57"/>
  <c r="G114" i="57"/>
  <c r="P114" i="57" s="1"/>
  <c r="F114" i="57"/>
  <c r="M113" i="57"/>
  <c r="P113" i="57"/>
  <c r="F113" i="57"/>
  <c r="M112" i="57"/>
  <c r="F112" i="57"/>
  <c r="M111" i="57"/>
  <c r="F111" i="57"/>
  <c r="M110" i="57"/>
  <c r="P110" i="57"/>
  <c r="F110" i="57"/>
  <c r="M109" i="57"/>
  <c r="F109" i="57"/>
  <c r="L107" i="57"/>
  <c r="L117" i="57" s="1"/>
  <c r="K107" i="57"/>
  <c r="K117" i="57" s="1"/>
  <c r="J107" i="57"/>
  <c r="J117" i="57" s="1"/>
  <c r="I107" i="57"/>
  <c r="I117" i="57" s="1"/>
  <c r="D107" i="57"/>
  <c r="M106" i="57"/>
  <c r="F106" i="57"/>
  <c r="M105" i="57"/>
  <c r="G105" i="57"/>
  <c r="P105" i="57" s="1"/>
  <c r="F105" i="57"/>
  <c r="P104" i="57"/>
  <c r="F104" i="57"/>
  <c r="M103" i="57"/>
  <c r="G103" i="57"/>
  <c r="P103" i="57" s="1"/>
  <c r="F103" i="57"/>
  <c r="M102" i="57"/>
  <c r="G102" i="57"/>
  <c r="P102" i="57" s="1"/>
  <c r="F102" i="57"/>
  <c r="M101" i="57"/>
  <c r="F101" i="57"/>
  <c r="P100" i="57"/>
  <c r="F100" i="57"/>
  <c r="M99" i="57"/>
  <c r="F99" i="57"/>
  <c r="M98" i="57"/>
  <c r="P98" i="57"/>
  <c r="F98" i="57"/>
  <c r="L95" i="57"/>
  <c r="K95" i="57"/>
  <c r="J95" i="57"/>
  <c r="I95" i="57"/>
  <c r="D95" i="57"/>
  <c r="M94" i="57"/>
  <c r="G94" i="57"/>
  <c r="P94" i="57" s="1"/>
  <c r="F94" i="57"/>
  <c r="M93" i="57"/>
  <c r="F93" i="57"/>
  <c r="M92" i="57"/>
  <c r="P92" i="57"/>
  <c r="F92" i="57"/>
  <c r="M91" i="57"/>
  <c r="P91" i="57"/>
  <c r="F91" i="57"/>
  <c r="M90" i="57"/>
  <c r="P90" i="57"/>
  <c r="F90" i="57"/>
  <c r="M89" i="57"/>
  <c r="F89" i="57"/>
  <c r="M88" i="57"/>
  <c r="F88" i="57"/>
  <c r="M87" i="57"/>
  <c r="F87" i="57"/>
  <c r="M86" i="57"/>
  <c r="F86" i="57"/>
  <c r="L84" i="57"/>
  <c r="K84" i="57"/>
  <c r="J84" i="57"/>
  <c r="I84" i="57"/>
  <c r="D84" i="57"/>
  <c r="M83" i="57"/>
  <c r="F83" i="57"/>
  <c r="M82" i="57"/>
  <c r="P82" i="57"/>
  <c r="F82" i="57"/>
  <c r="M81" i="57"/>
  <c r="F81" i="57"/>
  <c r="F80" i="57"/>
  <c r="M79" i="57"/>
  <c r="F79" i="57"/>
  <c r="M78" i="57"/>
  <c r="F78" i="57"/>
  <c r="M77" i="57"/>
  <c r="F77" i="57"/>
  <c r="M76" i="57"/>
  <c r="F76" i="57"/>
  <c r="M75" i="57"/>
  <c r="F75" i="57"/>
  <c r="M74" i="57"/>
  <c r="P74" i="57"/>
  <c r="F74" i="57"/>
  <c r="L72" i="57"/>
  <c r="K72" i="57"/>
  <c r="J72" i="57"/>
  <c r="I72" i="57"/>
  <c r="M71" i="57"/>
  <c r="G71" i="57"/>
  <c r="P71" i="57" s="1"/>
  <c r="F71" i="57"/>
  <c r="M70" i="57"/>
  <c r="D70" i="57"/>
  <c r="F70" i="57" s="1"/>
  <c r="M69" i="57"/>
  <c r="D69" i="57"/>
  <c r="G69" i="57" s="1"/>
  <c r="P69" i="57" s="1"/>
  <c r="M68" i="57"/>
  <c r="D68" i="57"/>
  <c r="G68" i="57" s="1"/>
  <c r="P68" i="57" s="1"/>
  <c r="M67" i="57"/>
  <c r="D67" i="57"/>
  <c r="M66" i="57"/>
  <c r="D66" i="57"/>
  <c r="F66" i="57" s="1"/>
  <c r="M65" i="57"/>
  <c r="D65" i="57"/>
  <c r="G65" i="57" s="1"/>
  <c r="P65" i="57" s="1"/>
  <c r="M64" i="57"/>
  <c r="D64" i="57"/>
  <c r="M63" i="57"/>
  <c r="D63" i="57"/>
  <c r="M62" i="57"/>
  <c r="D62" i="57"/>
  <c r="G62" i="57" s="1"/>
  <c r="P62" i="57" s="1"/>
  <c r="M61" i="57"/>
  <c r="D61" i="57"/>
  <c r="G61" i="57" s="1"/>
  <c r="M60" i="57"/>
  <c r="D60" i="57"/>
  <c r="F60" i="57" s="1"/>
  <c r="M59" i="57"/>
  <c r="D59" i="57"/>
  <c r="G59" i="57" s="1"/>
  <c r="P59" i="57" s="1"/>
  <c r="M58" i="57"/>
  <c r="D58" i="57"/>
  <c r="G58" i="57" s="1"/>
  <c r="P58" i="57" s="1"/>
  <c r="M57" i="57"/>
  <c r="D57" i="57"/>
  <c r="G57" i="57" s="1"/>
  <c r="P57" i="57" s="1"/>
  <c r="M56" i="57"/>
  <c r="D56" i="57"/>
  <c r="G56" i="57" s="1"/>
  <c r="M55" i="57"/>
  <c r="M54" i="57"/>
  <c r="D54" i="57"/>
  <c r="G54" i="57" s="1"/>
  <c r="M53" i="57"/>
  <c r="D53" i="57"/>
  <c r="G53" i="57" s="1"/>
  <c r="M52" i="57"/>
  <c r="M51" i="57"/>
  <c r="D51" i="57"/>
  <c r="F51" i="57" s="1"/>
  <c r="M50" i="57"/>
  <c r="D50" i="57"/>
  <c r="G50" i="57" s="1"/>
  <c r="P50" i="57" s="1"/>
  <c r="M49" i="57"/>
  <c r="D49" i="57"/>
  <c r="F49" i="57" s="1"/>
  <c r="M48" i="57"/>
  <c r="M47" i="57"/>
  <c r="D47" i="57"/>
  <c r="M46" i="57"/>
  <c r="T45" i="57"/>
  <c r="M45" i="57"/>
  <c r="D45" i="57"/>
  <c r="F46" i="57" s="1"/>
  <c r="M44" i="57"/>
  <c r="D44" i="57"/>
  <c r="F44" i="57" s="1"/>
  <c r="M43" i="57"/>
  <c r="M42" i="57"/>
  <c r="D42" i="57"/>
  <c r="G42" i="57" s="1"/>
  <c r="P42" i="57" s="1"/>
  <c r="L40" i="57"/>
  <c r="K40" i="57"/>
  <c r="J40" i="57"/>
  <c r="I40" i="57"/>
  <c r="D40" i="57"/>
  <c r="P39" i="57"/>
  <c r="M39" i="57"/>
  <c r="M38" i="57"/>
  <c r="M37" i="57"/>
  <c r="H36" i="57"/>
  <c r="M35" i="57"/>
  <c r="M33" i="57"/>
  <c r="G33" i="57"/>
  <c r="P33" i="57" s="1"/>
  <c r="M32" i="57"/>
  <c r="L24" i="57"/>
  <c r="K24" i="57"/>
  <c r="J24" i="57"/>
  <c r="I24" i="57"/>
  <c r="D24" i="57"/>
  <c r="M23" i="57"/>
  <c r="F23" i="57"/>
  <c r="M22" i="57"/>
  <c r="F22" i="57"/>
  <c r="M21" i="57"/>
  <c r="M20" i="57"/>
  <c r="M19" i="57"/>
  <c r="G19" i="57"/>
  <c r="P19" i="57" s="1"/>
  <c r="M18" i="57"/>
  <c r="M17" i="57"/>
  <c r="M16" i="57"/>
  <c r="M15" i="57"/>
  <c r="M14" i="57"/>
  <c r="M13" i="57"/>
  <c r="M12" i="57"/>
  <c r="M11" i="57"/>
  <c r="M10" i="57"/>
  <c r="H69" i="58" l="1"/>
  <c r="H63" i="58"/>
  <c r="H57" i="58"/>
  <c r="P95" i="58"/>
  <c r="H44" i="58"/>
  <c r="H71" i="59"/>
  <c r="P71" i="59"/>
  <c r="P117" i="58"/>
  <c r="H95" i="58"/>
  <c r="H117" i="58" s="1"/>
  <c r="P84" i="58"/>
  <c r="H40" i="58"/>
  <c r="H84" i="58"/>
  <c r="H18" i="58"/>
  <c r="G72" i="58"/>
  <c r="P42" i="58"/>
  <c r="P72" i="58" s="1"/>
  <c r="H49" i="58"/>
  <c r="F72" i="58"/>
  <c r="H47" i="58"/>
  <c r="H43" i="58"/>
  <c r="H51" i="58"/>
  <c r="P107" i="58"/>
  <c r="H54" i="58"/>
  <c r="H45" i="58"/>
  <c r="H104" i="57"/>
  <c r="H114" i="57"/>
  <c r="H115" i="57"/>
  <c r="H116" i="57"/>
  <c r="H16" i="57"/>
  <c r="H35" i="57"/>
  <c r="H20" i="57"/>
  <c r="H39" i="57"/>
  <c r="F42" i="57"/>
  <c r="H42" i="57" s="1"/>
  <c r="M95" i="57"/>
  <c r="H98" i="57"/>
  <c r="H111" i="57"/>
  <c r="H112" i="57"/>
  <c r="G44" i="57"/>
  <c r="G66" i="57"/>
  <c r="P66" i="57" s="1"/>
  <c r="F24" i="57"/>
  <c r="H24" i="57" s="1"/>
  <c r="H37" i="57"/>
  <c r="G49" i="57"/>
  <c r="P49" i="57" s="1"/>
  <c r="G43" i="57"/>
  <c r="P43" i="57" s="1"/>
  <c r="H80" i="57"/>
  <c r="H19" i="57"/>
  <c r="G48" i="57"/>
  <c r="P48" i="57" s="1"/>
  <c r="G60" i="57"/>
  <c r="P60" i="57" s="1"/>
  <c r="H89" i="57"/>
  <c r="H93" i="57"/>
  <c r="G24" i="57"/>
  <c r="H38" i="57"/>
  <c r="G45" i="57"/>
  <c r="P45" i="57" s="1"/>
  <c r="G67" i="57"/>
  <c r="P67" i="57" s="1"/>
  <c r="G51" i="57"/>
  <c r="P51" i="57" s="1"/>
  <c r="P56" i="57"/>
  <c r="F59" i="57"/>
  <c r="H59" i="57" s="1"/>
  <c r="H21" i="57"/>
  <c r="G46" i="57"/>
  <c r="P46" i="57" s="1"/>
  <c r="G70" i="57"/>
  <c r="P70" i="57" s="1"/>
  <c r="F43" i="57"/>
  <c r="H43" i="57" s="1"/>
  <c r="P61" i="57"/>
  <c r="H81" i="57"/>
  <c r="H88" i="57"/>
  <c r="H91" i="57"/>
  <c r="H92" i="57"/>
  <c r="H106" i="57"/>
  <c r="G47" i="57"/>
  <c r="P47" i="57" s="1"/>
  <c r="G64" i="57"/>
  <c r="P64" i="57" s="1"/>
  <c r="H17" i="57"/>
  <c r="F48" i="57"/>
  <c r="H48" i="57" s="1"/>
  <c r="H13" i="57"/>
  <c r="F47" i="57"/>
  <c r="M72" i="57"/>
  <c r="F64" i="57"/>
  <c r="F68" i="57"/>
  <c r="H68" i="57" s="1"/>
  <c r="M84" i="57"/>
  <c r="H76" i="57"/>
  <c r="H94" i="57"/>
  <c r="H103" i="57"/>
  <c r="M40" i="57"/>
  <c r="F52" i="57"/>
  <c r="F56" i="57"/>
  <c r="H56" i="57" s="1"/>
  <c r="F58" i="57"/>
  <c r="H58" i="57" s="1"/>
  <c r="F62" i="57"/>
  <c r="H62" i="57" s="1"/>
  <c r="F67" i="57"/>
  <c r="H11" i="57"/>
  <c r="H12" i="57"/>
  <c r="H33" i="57"/>
  <c r="H34" i="57"/>
  <c r="H71" i="57"/>
  <c r="H75" i="57"/>
  <c r="H83" i="57"/>
  <c r="H101" i="57"/>
  <c r="H102" i="57"/>
  <c r="G117" i="57"/>
  <c r="G55" i="57"/>
  <c r="P55" i="57" s="1"/>
  <c r="P54" i="57"/>
  <c r="F55" i="57"/>
  <c r="F54" i="57"/>
  <c r="H54" i="57" s="1"/>
  <c r="D72" i="57"/>
  <c r="H87" i="57"/>
  <c r="F95" i="57"/>
  <c r="H110" i="57"/>
  <c r="F117" i="57"/>
  <c r="F118" i="57" s="1"/>
  <c r="G63" i="57"/>
  <c r="P63" i="57" s="1"/>
  <c r="F63" i="57"/>
  <c r="P84" i="57"/>
  <c r="H77" i="57"/>
  <c r="H78" i="57"/>
  <c r="P99" i="57"/>
  <c r="P107" i="57" s="1"/>
  <c r="H99" i="57"/>
  <c r="H22" i="57"/>
  <c r="H23" i="57"/>
  <c r="F40" i="57"/>
  <c r="F53" i="57"/>
  <c r="P53" i="57"/>
  <c r="F65" i="57"/>
  <c r="H65" i="57" s="1"/>
  <c r="F84" i="57"/>
  <c r="H74" i="57"/>
  <c r="P86" i="57"/>
  <c r="P95" i="57" s="1"/>
  <c r="G95" i="57"/>
  <c r="H86" i="57"/>
  <c r="P117" i="57"/>
  <c r="M24" i="57"/>
  <c r="H14" i="57"/>
  <c r="H15" i="57"/>
  <c r="F57" i="57"/>
  <c r="H57" i="57" s="1"/>
  <c r="H79" i="57"/>
  <c r="P10" i="57"/>
  <c r="P24" i="57" s="1"/>
  <c r="G40" i="57"/>
  <c r="P32" i="57"/>
  <c r="P40" i="57" s="1"/>
  <c r="G52" i="57"/>
  <c r="P52" i="57" s="1"/>
  <c r="G84" i="57"/>
  <c r="F107" i="57"/>
  <c r="H109" i="57"/>
  <c r="H10" i="57"/>
  <c r="H18" i="57"/>
  <c r="H32" i="57"/>
  <c r="F45" i="57"/>
  <c r="F50" i="57"/>
  <c r="H50" i="57" s="1"/>
  <c r="F61" i="57"/>
  <c r="H61" i="57" s="1"/>
  <c r="F69" i="57"/>
  <c r="H69" i="57" s="1"/>
  <c r="H82" i="57"/>
  <c r="H90" i="57"/>
  <c r="G107" i="57"/>
  <c r="H100" i="57"/>
  <c r="H105" i="57"/>
  <c r="M107" i="57"/>
  <c r="M117" i="57" s="1"/>
  <c r="H113" i="57"/>
  <c r="F141" i="56"/>
  <c r="F140" i="56"/>
  <c r="F139" i="56"/>
  <c r="H139" i="56" s="1"/>
  <c r="F138" i="56"/>
  <c r="H138" i="56" s="1"/>
  <c r="G143" i="56"/>
  <c r="H143" i="56" s="1"/>
  <c r="G142" i="56"/>
  <c r="P142" i="56" s="1"/>
  <c r="G141" i="56"/>
  <c r="H141" i="56" s="1"/>
  <c r="G140" i="56"/>
  <c r="P140" i="56" s="1"/>
  <c r="G139" i="56"/>
  <c r="P139" i="56" s="1"/>
  <c r="G138" i="56"/>
  <c r="P138" i="56" s="1"/>
  <c r="G137" i="56"/>
  <c r="G136" i="56"/>
  <c r="P136" i="56" s="1"/>
  <c r="M116" i="56"/>
  <c r="M113" i="56"/>
  <c r="F117" i="56"/>
  <c r="F115" i="56"/>
  <c r="F114" i="56"/>
  <c r="F113" i="56"/>
  <c r="H113" i="56" s="1"/>
  <c r="F112" i="56"/>
  <c r="F111" i="56"/>
  <c r="F110" i="56"/>
  <c r="G117" i="56"/>
  <c r="P117" i="56" s="1"/>
  <c r="G115" i="56"/>
  <c r="P115" i="56" s="1"/>
  <c r="G114" i="56"/>
  <c r="G113" i="56"/>
  <c r="G111" i="56"/>
  <c r="P111" i="56" s="1"/>
  <c r="G110" i="56"/>
  <c r="F107" i="56"/>
  <c r="F105" i="56"/>
  <c r="F102" i="56"/>
  <c r="F99" i="56"/>
  <c r="H99" i="56" s="1"/>
  <c r="G106" i="56"/>
  <c r="P106" i="56" s="1"/>
  <c r="G105" i="56"/>
  <c r="G104" i="56"/>
  <c r="G102" i="56"/>
  <c r="P102" i="56" s="1"/>
  <c r="G100" i="56"/>
  <c r="P100" i="56" s="1"/>
  <c r="G99" i="56"/>
  <c r="G82" i="56"/>
  <c r="F82" i="56"/>
  <c r="G84" i="56"/>
  <c r="P84" i="56" s="1"/>
  <c r="G83" i="56"/>
  <c r="P83" i="56" s="1"/>
  <c r="F79" i="56"/>
  <c r="F76" i="56"/>
  <c r="F75" i="56"/>
  <c r="F71" i="56"/>
  <c r="F70" i="56"/>
  <c r="G79" i="56"/>
  <c r="G76" i="56"/>
  <c r="P76" i="56" s="1"/>
  <c r="G74" i="56"/>
  <c r="G72" i="56"/>
  <c r="P72" i="56" s="1"/>
  <c r="G70" i="56"/>
  <c r="G65" i="56"/>
  <c r="P65" i="56" s="1"/>
  <c r="G39" i="56"/>
  <c r="G36" i="56"/>
  <c r="F31" i="56"/>
  <c r="F30" i="56"/>
  <c r="F29" i="56"/>
  <c r="F28" i="56"/>
  <c r="F27" i="56"/>
  <c r="F26" i="56"/>
  <c r="G32" i="56"/>
  <c r="G31" i="56"/>
  <c r="P31" i="56" s="1"/>
  <c r="G30" i="56"/>
  <c r="P30" i="56" s="1"/>
  <c r="G29" i="56"/>
  <c r="G28" i="56"/>
  <c r="P28" i="56" s="1"/>
  <c r="G26" i="56"/>
  <c r="F21" i="56"/>
  <c r="F18" i="56"/>
  <c r="F14" i="56"/>
  <c r="F10" i="56"/>
  <c r="G21" i="56"/>
  <c r="G18" i="56"/>
  <c r="P18" i="56" s="1"/>
  <c r="G15" i="56"/>
  <c r="P15" i="56" s="1"/>
  <c r="G14" i="56"/>
  <c r="P14" i="56" s="1"/>
  <c r="G11" i="56"/>
  <c r="G10" i="56"/>
  <c r="L144" i="56"/>
  <c r="K144" i="56"/>
  <c r="D144" i="56"/>
  <c r="M143" i="56"/>
  <c r="M142" i="56"/>
  <c r="F142" i="56"/>
  <c r="F144" i="56" s="1"/>
  <c r="M141" i="56"/>
  <c r="M140" i="56"/>
  <c r="M139" i="56"/>
  <c r="M138" i="56"/>
  <c r="M137" i="56"/>
  <c r="F137" i="56"/>
  <c r="M136" i="56"/>
  <c r="F136" i="56"/>
  <c r="D118" i="56"/>
  <c r="M117" i="56"/>
  <c r="G116" i="56"/>
  <c r="P116" i="56" s="1"/>
  <c r="F116" i="56"/>
  <c r="M115" i="56"/>
  <c r="M114" i="56"/>
  <c r="P113" i="56"/>
  <c r="M112" i="56"/>
  <c r="G112" i="56"/>
  <c r="P112" i="56" s="1"/>
  <c r="M111" i="56"/>
  <c r="M110" i="56"/>
  <c r="L108" i="56"/>
  <c r="L118" i="56" s="1"/>
  <c r="K108" i="56"/>
  <c r="K118" i="56" s="1"/>
  <c r="J108" i="56"/>
  <c r="J118" i="56" s="1"/>
  <c r="J144" i="56" s="1"/>
  <c r="I108" i="56"/>
  <c r="I118" i="56" s="1"/>
  <c r="I144" i="56" s="1"/>
  <c r="D108" i="56"/>
  <c r="M107" i="56"/>
  <c r="G107" i="56"/>
  <c r="P107" i="56" s="1"/>
  <c r="M106" i="56"/>
  <c r="F106" i="56"/>
  <c r="P105" i="56"/>
  <c r="P104" i="56"/>
  <c r="M104" i="56"/>
  <c r="F104" i="56"/>
  <c r="M103" i="56"/>
  <c r="G103" i="56"/>
  <c r="P103" i="56" s="1"/>
  <c r="F103" i="56"/>
  <c r="M102" i="56"/>
  <c r="G101" i="56"/>
  <c r="P101" i="56" s="1"/>
  <c r="F101" i="56"/>
  <c r="H101" i="56" s="1"/>
  <c r="M100" i="56"/>
  <c r="F100" i="56"/>
  <c r="P99" i="56"/>
  <c r="M99" i="56"/>
  <c r="L91" i="56"/>
  <c r="K91" i="56"/>
  <c r="J91" i="56"/>
  <c r="I91" i="56"/>
  <c r="D91" i="56"/>
  <c r="M90" i="56"/>
  <c r="G90" i="56"/>
  <c r="P90" i="56" s="1"/>
  <c r="F90" i="56"/>
  <c r="M89" i="56"/>
  <c r="G89" i="56"/>
  <c r="P89" i="56" s="1"/>
  <c r="F89" i="56"/>
  <c r="H89" i="56" s="1"/>
  <c r="M88" i="56"/>
  <c r="G88" i="56"/>
  <c r="P88" i="56" s="1"/>
  <c r="F88" i="56"/>
  <c r="M87" i="56"/>
  <c r="G87" i="56"/>
  <c r="P87" i="56" s="1"/>
  <c r="F87" i="56"/>
  <c r="H87" i="56" s="1"/>
  <c r="M86" i="56"/>
  <c r="G86" i="56"/>
  <c r="F86" i="56"/>
  <c r="M85" i="56"/>
  <c r="G85" i="56"/>
  <c r="P85" i="56" s="1"/>
  <c r="F85" i="56"/>
  <c r="M84" i="56"/>
  <c r="F84" i="56"/>
  <c r="M83" i="56"/>
  <c r="F83" i="56"/>
  <c r="M82" i="56"/>
  <c r="L80" i="56"/>
  <c r="K80" i="56"/>
  <c r="J80" i="56"/>
  <c r="I80" i="56"/>
  <c r="D80" i="56"/>
  <c r="M79" i="56"/>
  <c r="M78" i="56"/>
  <c r="G78" i="56"/>
  <c r="F78" i="56"/>
  <c r="M77" i="56"/>
  <c r="G77" i="56"/>
  <c r="P77" i="56" s="1"/>
  <c r="F77" i="56"/>
  <c r="M75" i="56"/>
  <c r="G75" i="56"/>
  <c r="P75" i="56" s="1"/>
  <c r="P74" i="56"/>
  <c r="M74" i="56"/>
  <c r="F74" i="56"/>
  <c r="H74" i="56" s="1"/>
  <c r="M73" i="56"/>
  <c r="G73" i="56"/>
  <c r="F73" i="56"/>
  <c r="M72" i="56"/>
  <c r="F72" i="56"/>
  <c r="M71" i="56"/>
  <c r="G71" i="56"/>
  <c r="P71" i="56" s="1"/>
  <c r="H71" i="56"/>
  <c r="M70" i="56"/>
  <c r="L66" i="56"/>
  <c r="K66" i="56"/>
  <c r="J66" i="56"/>
  <c r="I66" i="56"/>
  <c r="M65" i="56"/>
  <c r="F65" i="56"/>
  <c r="M64" i="56"/>
  <c r="D64" i="56"/>
  <c r="G64" i="56" s="1"/>
  <c r="P64" i="56" s="1"/>
  <c r="M63" i="56"/>
  <c r="D63" i="56"/>
  <c r="G63" i="56" s="1"/>
  <c r="P63" i="56" s="1"/>
  <c r="M62" i="56"/>
  <c r="D62" i="56"/>
  <c r="G62" i="56" s="1"/>
  <c r="P62" i="56" s="1"/>
  <c r="M61" i="56"/>
  <c r="D61" i="56"/>
  <c r="G61" i="56" s="1"/>
  <c r="M60" i="56"/>
  <c r="D60" i="56"/>
  <c r="G60" i="56" s="1"/>
  <c r="P60" i="56" s="1"/>
  <c r="M59" i="56"/>
  <c r="D59" i="56"/>
  <c r="G59" i="56" s="1"/>
  <c r="P59" i="56" s="1"/>
  <c r="M58" i="56"/>
  <c r="D58" i="56"/>
  <c r="G58" i="56" s="1"/>
  <c r="P58" i="56" s="1"/>
  <c r="M57" i="56"/>
  <c r="D57" i="56"/>
  <c r="G57" i="56" s="1"/>
  <c r="P57" i="56" s="1"/>
  <c r="M56" i="56"/>
  <c r="D56" i="56"/>
  <c r="G56" i="56" s="1"/>
  <c r="P56" i="56" s="1"/>
  <c r="M55" i="56"/>
  <c r="D55" i="56"/>
  <c r="G55" i="56" s="1"/>
  <c r="M54" i="56"/>
  <c r="D54" i="56"/>
  <c r="G54" i="56" s="1"/>
  <c r="P54" i="56" s="1"/>
  <c r="M53" i="56"/>
  <c r="D53" i="56"/>
  <c r="M52" i="56"/>
  <c r="D52" i="56"/>
  <c r="G52" i="56" s="1"/>
  <c r="P52" i="56" s="1"/>
  <c r="M51" i="56"/>
  <c r="D51" i="56"/>
  <c r="G51" i="56" s="1"/>
  <c r="M50" i="56"/>
  <c r="D50" i="56"/>
  <c r="G50" i="56" s="1"/>
  <c r="P50" i="56" s="1"/>
  <c r="M49" i="56"/>
  <c r="M48" i="56"/>
  <c r="D48" i="56"/>
  <c r="G48" i="56" s="1"/>
  <c r="P48" i="56" s="1"/>
  <c r="M47" i="56"/>
  <c r="D47" i="56"/>
  <c r="F47" i="56" s="1"/>
  <c r="M46" i="56"/>
  <c r="M45" i="56"/>
  <c r="D45" i="56"/>
  <c r="G45" i="56" s="1"/>
  <c r="M44" i="56"/>
  <c r="D44" i="56"/>
  <c r="G44" i="56" s="1"/>
  <c r="P44" i="56" s="1"/>
  <c r="M43" i="56"/>
  <c r="D43" i="56"/>
  <c r="G43" i="56" s="1"/>
  <c r="P43" i="56" s="1"/>
  <c r="M42" i="56"/>
  <c r="M41" i="56"/>
  <c r="D41" i="56"/>
  <c r="G41" i="56" s="1"/>
  <c r="M40" i="56"/>
  <c r="T39" i="56"/>
  <c r="M39" i="56"/>
  <c r="D39" i="56"/>
  <c r="M38" i="56"/>
  <c r="D38" i="56"/>
  <c r="F38" i="56" s="1"/>
  <c r="M37" i="56"/>
  <c r="G37" i="56"/>
  <c r="P37" i="56" s="1"/>
  <c r="M36" i="56"/>
  <c r="D36" i="56"/>
  <c r="F36" i="56" s="1"/>
  <c r="L34" i="56"/>
  <c r="K34" i="56"/>
  <c r="J34" i="56"/>
  <c r="I34" i="56"/>
  <c r="D34" i="56"/>
  <c r="M33" i="56"/>
  <c r="G33" i="56"/>
  <c r="P33" i="56" s="1"/>
  <c r="F33" i="56"/>
  <c r="H33" i="56" s="1"/>
  <c r="M32" i="56"/>
  <c r="P32" i="56"/>
  <c r="F32" i="56"/>
  <c r="M31" i="56"/>
  <c r="M29" i="56"/>
  <c r="M27" i="56"/>
  <c r="G27" i="56"/>
  <c r="H27" i="56" s="1"/>
  <c r="M26" i="56"/>
  <c r="L24" i="56"/>
  <c r="K24" i="56"/>
  <c r="J24" i="56"/>
  <c r="I24" i="56"/>
  <c r="D24" i="56"/>
  <c r="M23" i="56"/>
  <c r="G23" i="56"/>
  <c r="P23" i="56" s="1"/>
  <c r="F23" i="56"/>
  <c r="M22" i="56"/>
  <c r="G22" i="56"/>
  <c r="P22" i="56" s="1"/>
  <c r="F22" i="56"/>
  <c r="H22" i="56" s="1"/>
  <c r="P21" i="56"/>
  <c r="M21" i="56"/>
  <c r="H21" i="56"/>
  <c r="M20" i="56"/>
  <c r="G20" i="56"/>
  <c r="P20" i="56" s="1"/>
  <c r="F20" i="56"/>
  <c r="M19" i="56"/>
  <c r="G19" i="56"/>
  <c r="P19" i="56" s="1"/>
  <c r="F19" i="56"/>
  <c r="M18" i="56"/>
  <c r="M17" i="56"/>
  <c r="G17" i="56"/>
  <c r="P17" i="56" s="1"/>
  <c r="F17" i="56"/>
  <c r="H17" i="56" s="1"/>
  <c r="M16" i="56"/>
  <c r="G16" i="56"/>
  <c r="P16" i="56" s="1"/>
  <c r="F16" i="56"/>
  <c r="H16" i="56" s="1"/>
  <c r="M15" i="56"/>
  <c r="F15" i="56"/>
  <c r="M14" i="56"/>
  <c r="M13" i="56"/>
  <c r="G13" i="56"/>
  <c r="P13" i="56" s="1"/>
  <c r="F13" i="56"/>
  <c r="H13" i="56" s="1"/>
  <c r="M12" i="56"/>
  <c r="G12" i="56"/>
  <c r="P12" i="56" s="1"/>
  <c r="F12" i="56"/>
  <c r="P11" i="56"/>
  <c r="M11" i="56"/>
  <c r="F11" i="56"/>
  <c r="M10" i="56"/>
  <c r="F44" i="56" l="1"/>
  <c r="H44" i="56" s="1"/>
  <c r="H26" i="56"/>
  <c r="H114" i="56"/>
  <c r="H83" i="56"/>
  <c r="H10" i="56"/>
  <c r="H28" i="56"/>
  <c r="H79" i="56"/>
  <c r="H11" i="56"/>
  <c r="H30" i="56"/>
  <c r="F61" i="56"/>
  <c r="H61" i="56" s="1"/>
  <c r="G38" i="56"/>
  <c r="P38" i="56" s="1"/>
  <c r="H46" i="57"/>
  <c r="H18" i="56"/>
  <c r="G46" i="56"/>
  <c r="P46" i="56" s="1"/>
  <c r="H88" i="56"/>
  <c r="H72" i="58"/>
  <c r="H51" i="57"/>
  <c r="H66" i="57"/>
  <c r="H60" i="57"/>
  <c r="H45" i="57"/>
  <c r="H64" i="57"/>
  <c r="H49" i="57"/>
  <c r="H70" i="57"/>
  <c r="H95" i="57"/>
  <c r="H55" i="57"/>
  <c r="H67" i="57"/>
  <c r="H40" i="57"/>
  <c r="H47" i="57"/>
  <c r="H53" i="57"/>
  <c r="H107" i="57"/>
  <c r="F72" i="57"/>
  <c r="H84" i="57"/>
  <c r="P44" i="57"/>
  <c r="P72" i="57" s="1"/>
  <c r="H44" i="57"/>
  <c r="H52" i="57"/>
  <c r="G72" i="57"/>
  <c r="H63" i="57"/>
  <c r="H107" i="56"/>
  <c r="P79" i="56"/>
  <c r="M144" i="56"/>
  <c r="P27" i="56"/>
  <c r="H85" i="56"/>
  <c r="H103" i="56"/>
  <c r="H75" i="56"/>
  <c r="H31" i="56"/>
  <c r="F55" i="56"/>
  <c r="F64" i="56"/>
  <c r="H64" i="56" s="1"/>
  <c r="P114" i="56"/>
  <c r="H14" i="56"/>
  <c r="G80" i="56"/>
  <c r="F91" i="56"/>
  <c r="G118" i="56"/>
  <c r="F50" i="56"/>
  <c r="H50" i="56" s="1"/>
  <c r="F59" i="56"/>
  <c r="H59" i="56" s="1"/>
  <c r="P141" i="56"/>
  <c r="F42" i="56"/>
  <c r="H102" i="56"/>
  <c r="H15" i="56"/>
  <c r="H19" i="56"/>
  <c r="H20" i="56"/>
  <c r="F45" i="56"/>
  <c r="F49" i="56"/>
  <c r="P70" i="56"/>
  <c r="H104" i="56"/>
  <c r="H137" i="56"/>
  <c r="F46" i="56"/>
  <c r="H46" i="56" s="1"/>
  <c r="G47" i="56"/>
  <c r="P47" i="56" s="1"/>
  <c r="F54" i="56"/>
  <c r="H54" i="56" s="1"/>
  <c r="F63" i="56"/>
  <c r="H63" i="56" s="1"/>
  <c r="F108" i="56"/>
  <c r="F43" i="56"/>
  <c r="H43" i="56" s="1"/>
  <c r="F34" i="56"/>
  <c r="D66" i="56"/>
  <c r="P51" i="56"/>
  <c r="F52" i="56"/>
  <c r="H52" i="56" s="1"/>
  <c r="F53" i="56"/>
  <c r="P61" i="56"/>
  <c r="F62" i="56"/>
  <c r="H62" i="56" s="1"/>
  <c r="G108" i="56"/>
  <c r="G53" i="56"/>
  <c r="P53" i="56" s="1"/>
  <c r="F24" i="56"/>
  <c r="H12" i="56"/>
  <c r="H24" i="56" s="1"/>
  <c r="H23" i="56"/>
  <c r="H32" i="56"/>
  <c r="F51" i="56"/>
  <c r="H51" i="56" s="1"/>
  <c r="F56" i="56"/>
  <c r="H56" i="56" s="1"/>
  <c r="F57" i="56"/>
  <c r="H57" i="56" s="1"/>
  <c r="F60" i="56"/>
  <c r="H60" i="56" s="1"/>
  <c r="H77" i="56"/>
  <c r="H84" i="56"/>
  <c r="H116" i="56"/>
  <c r="F37" i="56"/>
  <c r="H37" i="56" s="1"/>
  <c r="F58" i="56"/>
  <c r="H58" i="56" s="1"/>
  <c r="H140" i="56"/>
  <c r="H136" i="56"/>
  <c r="F118" i="56"/>
  <c r="F119" i="56" s="1"/>
  <c r="H112" i="56"/>
  <c r="H117" i="56"/>
  <c r="M91" i="56"/>
  <c r="M80" i="56"/>
  <c r="F80" i="56"/>
  <c r="H76" i="56"/>
  <c r="H72" i="56"/>
  <c r="M66" i="56"/>
  <c r="P55" i="56"/>
  <c r="H55" i="56"/>
  <c r="M24" i="56"/>
  <c r="M34" i="56"/>
  <c r="G42" i="56"/>
  <c r="P42" i="56" s="1"/>
  <c r="F41" i="56"/>
  <c r="P41" i="56"/>
  <c r="H65" i="56"/>
  <c r="H70" i="56"/>
  <c r="P73" i="56"/>
  <c r="H73" i="56"/>
  <c r="P78" i="56"/>
  <c r="H78" i="56"/>
  <c r="P82" i="56"/>
  <c r="G91" i="56"/>
  <c r="H82" i="56"/>
  <c r="P86" i="56"/>
  <c r="H86" i="56"/>
  <c r="H29" i="56"/>
  <c r="P29" i="56"/>
  <c r="F40" i="56"/>
  <c r="F39" i="56"/>
  <c r="H39" i="56" s="1"/>
  <c r="G40" i="56"/>
  <c r="P40" i="56" s="1"/>
  <c r="G24" i="56"/>
  <c r="P10" i="56"/>
  <c r="P24" i="56" s="1"/>
  <c r="G34" i="56"/>
  <c r="P26" i="56"/>
  <c r="P39" i="56"/>
  <c r="G49" i="56"/>
  <c r="P49" i="56" s="1"/>
  <c r="F48" i="56"/>
  <c r="H48" i="56" s="1"/>
  <c r="P108" i="56"/>
  <c r="G144" i="56"/>
  <c r="P45" i="56"/>
  <c r="H90" i="56"/>
  <c r="H100" i="56"/>
  <c r="H105" i="56"/>
  <c r="H106" i="56"/>
  <c r="M108" i="56"/>
  <c r="M118" i="56" s="1"/>
  <c r="H110" i="56"/>
  <c r="H115" i="56"/>
  <c r="P137" i="56"/>
  <c r="P143" i="56"/>
  <c r="H111" i="56"/>
  <c r="P110" i="56"/>
  <c r="P118" i="56" s="1"/>
  <c r="H142" i="56"/>
  <c r="F119" i="55"/>
  <c r="F121" i="55" s="1"/>
  <c r="F117" i="55"/>
  <c r="H117" i="55" s="1"/>
  <c r="F114" i="55"/>
  <c r="F113" i="55"/>
  <c r="G120" i="55"/>
  <c r="G119" i="55"/>
  <c r="G115" i="55"/>
  <c r="G114" i="55"/>
  <c r="G113" i="55"/>
  <c r="P113" i="55" s="1"/>
  <c r="G109" i="55"/>
  <c r="G107" i="55"/>
  <c r="G106" i="55"/>
  <c r="P106" i="55" s="1"/>
  <c r="G104" i="55"/>
  <c r="G103" i="55"/>
  <c r="G102" i="55"/>
  <c r="F99" i="55"/>
  <c r="F98" i="55"/>
  <c r="F97" i="55"/>
  <c r="F96" i="55"/>
  <c r="F95" i="55"/>
  <c r="H95" i="55" s="1"/>
  <c r="F94" i="55"/>
  <c r="H94" i="55" s="1"/>
  <c r="F93" i="55"/>
  <c r="H93" i="55" s="1"/>
  <c r="F92" i="55"/>
  <c r="F91" i="55"/>
  <c r="G99" i="55"/>
  <c r="P99" i="55" s="1"/>
  <c r="G97" i="55"/>
  <c r="P97" i="55" s="1"/>
  <c r="G96" i="55"/>
  <c r="G95" i="55"/>
  <c r="G94" i="55"/>
  <c r="G93" i="55"/>
  <c r="G92" i="55"/>
  <c r="G91" i="55"/>
  <c r="G87" i="55"/>
  <c r="G86" i="55"/>
  <c r="G85" i="55"/>
  <c r="P85" i="55" s="1"/>
  <c r="G84" i="55"/>
  <c r="P84" i="55" s="1"/>
  <c r="G83" i="55"/>
  <c r="G81" i="55"/>
  <c r="P81" i="55" s="1"/>
  <c r="G80" i="55"/>
  <c r="P80" i="55" s="1"/>
  <c r="G77" i="55"/>
  <c r="G76" i="55"/>
  <c r="G75" i="55"/>
  <c r="G74" i="55"/>
  <c r="G73" i="55"/>
  <c r="P73" i="55" s="1"/>
  <c r="G71" i="55"/>
  <c r="G70" i="55"/>
  <c r="P70" i="55" s="1"/>
  <c r="G69" i="55"/>
  <c r="P69" i="55" s="1"/>
  <c r="G68" i="55"/>
  <c r="P68" i="55" s="1"/>
  <c r="F65" i="55"/>
  <c r="F63" i="55"/>
  <c r="G65" i="55"/>
  <c r="G41" i="55"/>
  <c r="P41" i="55" s="1"/>
  <c r="F26" i="55"/>
  <c r="G32" i="55"/>
  <c r="P32" i="55" s="1"/>
  <c r="G28" i="55"/>
  <c r="P28" i="55" s="1"/>
  <c r="F27" i="55"/>
  <c r="H27" i="55" s="1"/>
  <c r="F23" i="55"/>
  <c r="F22" i="55"/>
  <c r="F21" i="55"/>
  <c r="F20" i="55"/>
  <c r="H20" i="55" s="1"/>
  <c r="F19" i="55"/>
  <c r="H19" i="55" s="1"/>
  <c r="F18" i="55"/>
  <c r="F17" i="55"/>
  <c r="F16" i="55"/>
  <c r="F15" i="55"/>
  <c r="H15" i="55" s="1"/>
  <c r="F14" i="55"/>
  <c r="F13" i="55"/>
  <c r="F12" i="55"/>
  <c r="F11" i="55"/>
  <c r="F10" i="55"/>
  <c r="G23" i="55"/>
  <c r="G22" i="55"/>
  <c r="P22" i="55" s="1"/>
  <c r="G21" i="55"/>
  <c r="G20" i="55"/>
  <c r="P20" i="55" s="1"/>
  <c r="G19" i="55"/>
  <c r="P19" i="55" s="1"/>
  <c r="G18" i="55"/>
  <c r="P18" i="55" s="1"/>
  <c r="G17" i="55"/>
  <c r="P17" i="55" s="1"/>
  <c r="G16" i="55"/>
  <c r="P16" i="55" s="1"/>
  <c r="G15" i="55"/>
  <c r="P15" i="55" s="1"/>
  <c r="G14" i="55"/>
  <c r="P14" i="55" s="1"/>
  <c r="G13" i="55"/>
  <c r="G12" i="55"/>
  <c r="P12" i="55" s="1"/>
  <c r="G10" i="55"/>
  <c r="P23" i="55"/>
  <c r="P21" i="55"/>
  <c r="P13" i="55"/>
  <c r="P10" i="55"/>
  <c r="L121" i="55"/>
  <c r="K121" i="55"/>
  <c r="D121" i="55"/>
  <c r="M120" i="55"/>
  <c r="M119" i="55"/>
  <c r="M118" i="55"/>
  <c r="G118" i="55"/>
  <c r="P118" i="55" s="1"/>
  <c r="M117" i="55"/>
  <c r="G117" i="55"/>
  <c r="P117" i="55" s="1"/>
  <c r="M116" i="55"/>
  <c r="G116" i="55"/>
  <c r="P116" i="55" s="1"/>
  <c r="F116" i="55"/>
  <c r="P115" i="55"/>
  <c r="M115" i="55"/>
  <c r="F115" i="55"/>
  <c r="M114" i="55"/>
  <c r="M113" i="55"/>
  <c r="D110" i="55"/>
  <c r="M109" i="55"/>
  <c r="P109" i="55"/>
  <c r="F109" i="55"/>
  <c r="H109" i="55" s="1"/>
  <c r="G108" i="55"/>
  <c r="P108" i="55" s="1"/>
  <c r="F108" i="55"/>
  <c r="H108" i="55" s="1"/>
  <c r="P107" i="55"/>
  <c r="M107" i="55"/>
  <c r="F107" i="55"/>
  <c r="M106" i="55"/>
  <c r="F106" i="55"/>
  <c r="G105" i="55"/>
  <c r="P105" i="55" s="1"/>
  <c r="F105" i="55"/>
  <c r="M104" i="55"/>
  <c r="F104" i="55"/>
  <c r="M103" i="55"/>
  <c r="F103" i="55"/>
  <c r="P102" i="55"/>
  <c r="M102" i="55"/>
  <c r="F102" i="55"/>
  <c r="L100" i="55"/>
  <c r="L110" i="55" s="1"/>
  <c r="K100" i="55"/>
  <c r="K110" i="55" s="1"/>
  <c r="J100" i="55"/>
  <c r="J110" i="55" s="1"/>
  <c r="J121" i="55" s="1"/>
  <c r="I100" i="55"/>
  <c r="I110" i="55" s="1"/>
  <c r="I121" i="55" s="1"/>
  <c r="D100" i="55"/>
  <c r="M99" i="55"/>
  <c r="M98" i="55"/>
  <c r="G98" i="55"/>
  <c r="H98" i="55" s="1"/>
  <c r="P96" i="55"/>
  <c r="M96" i="55"/>
  <c r="M95" i="55"/>
  <c r="P95" i="55"/>
  <c r="M94" i="55"/>
  <c r="P94" i="55"/>
  <c r="P93" i="55"/>
  <c r="P92" i="55"/>
  <c r="M92" i="55"/>
  <c r="M91" i="55"/>
  <c r="L89" i="55"/>
  <c r="K89" i="55"/>
  <c r="J89" i="55"/>
  <c r="I89" i="55"/>
  <c r="D89" i="55"/>
  <c r="M88" i="55"/>
  <c r="G88" i="55"/>
  <c r="P88" i="55" s="1"/>
  <c r="F88" i="55"/>
  <c r="M87" i="55"/>
  <c r="P87" i="55"/>
  <c r="F87" i="55"/>
  <c r="M86" i="55"/>
  <c r="P86" i="55"/>
  <c r="F86" i="55"/>
  <c r="M85" i="55"/>
  <c r="F85" i="55"/>
  <c r="H85" i="55" s="1"/>
  <c r="M84" i="55"/>
  <c r="F84" i="55"/>
  <c r="M83" i="55"/>
  <c r="P83" i="55"/>
  <c r="F83" i="55"/>
  <c r="M82" i="55"/>
  <c r="G82" i="55"/>
  <c r="P82" i="55" s="1"/>
  <c r="F82" i="55"/>
  <c r="M81" i="55"/>
  <c r="F81" i="55"/>
  <c r="H81" i="55" s="1"/>
  <c r="M80" i="55"/>
  <c r="F80" i="55"/>
  <c r="L78" i="55"/>
  <c r="K78" i="55"/>
  <c r="J78" i="55"/>
  <c r="I78" i="55"/>
  <c r="D78" i="55"/>
  <c r="M77" i="55"/>
  <c r="P77" i="55"/>
  <c r="F77" i="55"/>
  <c r="H77" i="55" s="1"/>
  <c r="P76" i="55"/>
  <c r="M76" i="55"/>
  <c r="F76" i="55"/>
  <c r="H76" i="55" s="1"/>
  <c r="M75" i="55"/>
  <c r="G78" i="55"/>
  <c r="F75" i="55"/>
  <c r="P74" i="55"/>
  <c r="F74" i="55"/>
  <c r="H74" i="55" s="1"/>
  <c r="M73" i="55"/>
  <c r="F73" i="55"/>
  <c r="M72" i="55"/>
  <c r="G72" i="55"/>
  <c r="P72" i="55" s="1"/>
  <c r="F72" i="55"/>
  <c r="H72" i="55" s="1"/>
  <c r="P71" i="55"/>
  <c r="M71" i="55"/>
  <c r="F71" i="55"/>
  <c r="H71" i="55" s="1"/>
  <c r="M70" i="55"/>
  <c r="F70" i="55"/>
  <c r="M69" i="55"/>
  <c r="F69" i="55"/>
  <c r="M68" i="55"/>
  <c r="F68" i="55"/>
  <c r="L66" i="55"/>
  <c r="K66" i="55"/>
  <c r="J66" i="55"/>
  <c r="I66" i="55"/>
  <c r="M65" i="55"/>
  <c r="H65" i="55"/>
  <c r="P65" i="55"/>
  <c r="M64" i="55"/>
  <c r="D64" i="55"/>
  <c r="G64" i="55" s="1"/>
  <c r="M63" i="55"/>
  <c r="D63" i="55"/>
  <c r="G63" i="55" s="1"/>
  <c r="P63" i="55" s="1"/>
  <c r="M62" i="55"/>
  <c r="D62" i="55"/>
  <c r="F62" i="55" s="1"/>
  <c r="M61" i="55"/>
  <c r="D61" i="55"/>
  <c r="F61" i="55" s="1"/>
  <c r="M60" i="55"/>
  <c r="D60" i="55"/>
  <c r="F60" i="55" s="1"/>
  <c r="M59" i="55"/>
  <c r="D59" i="55"/>
  <c r="G59" i="55" s="1"/>
  <c r="P59" i="55" s="1"/>
  <c r="M58" i="55"/>
  <c r="D58" i="55"/>
  <c r="F58" i="55" s="1"/>
  <c r="M57" i="55"/>
  <c r="D57" i="55"/>
  <c r="F57" i="55" s="1"/>
  <c r="M56" i="55"/>
  <c r="D56" i="55"/>
  <c r="G56" i="55" s="1"/>
  <c r="M55" i="55"/>
  <c r="D55" i="55"/>
  <c r="G55" i="55" s="1"/>
  <c r="P55" i="55" s="1"/>
  <c r="M54" i="55"/>
  <c r="D54" i="55"/>
  <c r="M53" i="55"/>
  <c r="G53" i="55"/>
  <c r="P53" i="55" s="1"/>
  <c r="D53" i="55"/>
  <c r="F53" i="55" s="1"/>
  <c r="M52" i="55"/>
  <c r="D52" i="55"/>
  <c r="F52" i="55" s="1"/>
  <c r="M51" i="55"/>
  <c r="D51" i="55"/>
  <c r="G51" i="55" s="1"/>
  <c r="P51" i="55" s="1"/>
  <c r="M50" i="55"/>
  <c r="D50" i="55"/>
  <c r="G50" i="55" s="1"/>
  <c r="M49" i="55"/>
  <c r="M48" i="55"/>
  <c r="D48" i="55"/>
  <c r="G49" i="55" s="1"/>
  <c r="P49" i="55" s="1"/>
  <c r="M47" i="55"/>
  <c r="D47" i="55"/>
  <c r="G47" i="55" s="1"/>
  <c r="P47" i="55" s="1"/>
  <c r="M46" i="55"/>
  <c r="M45" i="55"/>
  <c r="D45" i="55"/>
  <c r="G45" i="55" s="1"/>
  <c r="M44" i="55"/>
  <c r="D44" i="55"/>
  <c r="G44" i="55" s="1"/>
  <c r="P44" i="55" s="1"/>
  <c r="M43" i="55"/>
  <c r="D43" i="55"/>
  <c r="M42" i="55"/>
  <c r="F42" i="55"/>
  <c r="M41" i="55"/>
  <c r="D41" i="55"/>
  <c r="G42" i="55" s="1"/>
  <c r="P42" i="55" s="1"/>
  <c r="M40" i="55"/>
  <c r="T39" i="55"/>
  <c r="M39" i="55"/>
  <c r="D39" i="55"/>
  <c r="G40" i="55" s="1"/>
  <c r="P40" i="55" s="1"/>
  <c r="M38" i="55"/>
  <c r="D38" i="55"/>
  <c r="F38" i="55" s="1"/>
  <c r="M37" i="55"/>
  <c r="M36" i="55"/>
  <c r="D36" i="55"/>
  <c r="F37" i="55" s="1"/>
  <c r="L34" i="55"/>
  <c r="K34" i="55"/>
  <c r="J34" i="55"/>
  <c r="I34" i="55"/>
  <c r="D34" i="55"/>
  <c r="M33" i="55"/>
  <c r="G33" i="55"/>
  <c r="P33" i="55" s="1"/>
  <c r="F33" i="55"/>
  <c r="H33" i="55" s="1"/>
  <c r="M32" i="55"/>
  <c r="F32" i="55"/>
  <c r="H32" i="55" s="1"/>
  <c r="M31" i="55"/>
  <c r="G31" i="55"/>
  <c r="P31" i="55" s="1"/>
  <c r="F31" i="55"/>
  <c r="G30" i="55"/>
  <c r="P30" i="55" s="1"/>
  <c r="F30" i="55"/>
  <c r="M29" i="55"/>
  <c r="G29" i="55"/>
  <c r="P29" i="55" s="1"/>
  <c r="F29" i="55"/>
  <c r="H29" i="55" s="1"/>
  <c r="F28" i="55"/>
  <c r="M27" i="55"/>
  <c r="G27" i="55"/>
  <c r="P27" i="55" s="1"/>
  <c r="M26" i="55"/>
  <c r="G26" i="55"/>
  <c r="L24" i="55"/>
  <c r="K24" i="55"/>
  <c r="J24" i="55"/>
  <c r="I24" i="55"/>
  <c r="D24" i="55"/>
  <c r="M23" i="55"/>
  <c r="M22" i="55"/>
  <c r="M21" i="55"/>
  <c r="M20" i="55"/>
  <c r="M19" i="55"/>
  <c r="M18" i="55"/>
  <c r="M17" i="55"/>
  <c r="M16" i="55"/>
  <c r="M15" i="55"/>
  <c r="M14" i="55"/>
  <c r="M13" i="55"/>
  <c r="M12" i="55"/>
  <c r="M11" i="55"/>
  <c r="G11" i="55"/>
  <c r="H11" i="55" s="1"/>
  <c r="M10" i="55"/>
  <c r="H10" i="55"/>
  <c r="F59" i="55" l="1"/>
  <c r="H103" i="55"/>
  <c r="H14" i="55"/>
  <c r="P103" i="55"/>
  <c r="F34" i="55"/>
  <c r="H84" i="55"/>
  <c r="G36" i="55"/>
  <c r="F44" i="55"/>
  <c r="M89" i="55"/>
  <c r="F51" i="55"/>
  <c r="H51" i="55" s="1"/>
  <c r="G46" i="55"/>
  <c r="P46" i="55" s="1"/>
  <c r="H68" i="55"/>
  <c r="H26" i="55"/>
  <c r="H73" i="55"/>
  <c r="H38" i="56"/>
  <c r="H69" i="55"/>
  <c r="F110" i="55"/>
  <c r="H22" i="55"/>
  <c r="F36" i="55"/>
  <c r="H36" i="55" s="1"/>
  <c r="P26" i="55"/>
  <c r="H107" i="55"/>
  <c r="H115" i="55"/>
  <c r="F40" i="55"/>
  <c r="H40" i="55" s="1"/>
  <c r="H99" i="55"/>
  <c r="H113" i="55"/>
  <c r="H117" i="57"/>
  <c r="H72" i="57"/>
  <c r="H34" i="56"/>
  <c r="H91" i="56"/>
  <c r="H42" i="56"/>
  <c r="P91" i="56"/>
  <c r="H53" i="56"/>
  <c r="P80" i="56"/>
  <c r="P144" i="56"/>
  <c r="H144" i="56"/>
  <c r="H108" i="56"/>
  <c r="F66" i="56"/>
  <c r="H45" i="56"/>
  <c r="H36" i="56"/>
  <c r="G66" i="56"/>
  <c r="P36" i="56"/>
  <c r="P66" i="56" s="1"/>
  <c r="H80" i="56"/>
  <c r="H41" i="56"/>
  <c r="P34" i="56"/>
  <c r="H40" i="56"/>
  <c r="H47" i="56"/>
  <c r="H49" i="56"/>
  <c r="H28" i="55"/>
  <c r="M66" i="55"/>
  <c r="M78" i="55"/>
  <c r="F78" i="55"/>
  <c r="P98" i="55"/>
  <c r="G38" i="55"/>
  <c r="P38" i="55" s="1"/>
  <c r="G57" i="55"/>
  <c r="P57" i="55" s="1"/>
  <c r="G61" i="55"/>
  <c r="P61" i="55" s="1"/>
  <c r="M34" i="55"/>
  <c r="H30" i="55"/>
  <c r="F55" i="55"/>
  <c r="H55" i="55" s="1"/>
  <c r="H70" i="55"/>
  <c r="H105" i="55"/>
  <c r="H116" i="55"/>
  <c r="H118" i="55"/>
  <c r="H23" i="55"/>
  <c r="G39" i="55"/>
  <c r="P39" i="55" s="1"/>
  <c r="G58" i="55"/>
  <c r="H58" i="55" s="1"/>
  <c r="F41" i="55"/>
  <c r="H41" i="55" s="1"/>
  <c r="H92" i="55"/>
  <c r="P11" i="55"/>
  <c r="P24" i="55" s="1"/>
  <c r="G48" i="55"/>
  <c r="P48" i="55" s="1"/>
  <c r="F49" i="55"/>
  <c r="P37" i="55"/>
  <c r="F48" i="55"/>
  <c r="H88" i="55"/>
  <c r="G37" i="55"/>
  <c r="G60" i="55"/>
  <c r="P60" i="55" s="1"/>
  <c r="F39" i="55"/>
  <c r="H39" i="55" s="1"/>
  <c r="H104" i="55"/>
  <c r="H97" i="55"/>
  <c r="G100" i="55"/>
  <c r="P91" i="55"/>
  <c r="P100" i="55" s="1"/>
  <c r="P34" i="55"/>
  <c r="P120" i="55"/>
  <c r="H120" i="55"/>
  <c r="M24" i="55"/>
  <c r="H12" i="55"/>
  <c r="G34" i="55"/>
  <c r="H82" i="55"/>
  <c r="H86" i="55"/>
  <c r="H102" i="55"/>
  <c r="F111" i="55"/>
  <c r="G121" i="55"/>
  <c r="H21" i="55"/>
  <c r="H38" i="55"/>
  <c r="F47" i="55"/>
  <c r="H47" i="55" s="1"/>
  <c r="H49" i="55"/>
  <c r="P50" i="55"/>
  <c r="F50" i="55"/>
  <c r="H50" i="55" s="1"/>
  <c r="G52" i="55"/>
  <c r="P52" i="55" s="1"/>
  <c r="H53" i="55"/>
  <c r="G54" i="55"/>
  <c r="P54" i="55" s="1"/>
  <c r="F54" i="55"/>
  <c r="P56" i="55"/>
  <c r="F56" i="55"/>
  <c r="H56" i="55" s="1"/>
  <c r="H57" i="55"/>
  <c r="P58" i="55"/>
  <c r="H59" i="55"/>
  <c r="G62" i="55"/>
  <c r="P62" i="55" s="1"/>
  <c r="H63" i="55"/>
  <c r="P64" i="55"/>
  <c r="F64" i="55"/>
  <c r="H64" i="55" s="1"/>
  <c r="P75" i="55"/>
  <c r="P78" i="55" s="1"/>
  <c r="P89" i="55"/>
  <c r="H91" i="55"/>
  <c r="H96" i="55"/>
  <c r="F100" i="55"/>
  <c r="P104" i="55"/>
  <c r="P110" i="55" s="1"/>
  <c r="G110" i="55"/>
  <c r="M121" i="55"/>
  <c r="P119" i="55"/>
  <c r="H119" i="55"/>
  <c r="G24" i="55"/>
  <c r="G89" i="55"/>
  <c r="P114" i="55"/>
  <c r="H114" i="55"/>
  <c r="H16" i="55"/>
  <c r="D66" i="55"/>
  <c r="H13" i="55"/>
  <c r="H17" i="55"/>
  <c r="F24" i="55"/>
  <c r="H31" i="55"/>
  <c r="H37" i="55"/>
  <c r="H42" i="55"/>
  <c r="G43" i="55"/>
  <c r="P43" i="55" s="1"/>
  <c r="F43" i="55"/>
  <c r="H44" i="55"/>
  <c r="F46" i="55"/>
  <c r="H46" i="55" s="1"/>
  <c r="P45" i="55"/>
  <c r="F45" i="55"/>
  <c r="H45" i="55" s="1"/>
  <c r="H75" i="55"/>
  <c r="F89" i="55"/>
  <c r="H80" i="55"/>
  <c r="H83" i="55"/>
  <c r="H87" i="55"/>
  <c r="H106" i="55"/>
  <c r="M100" i="55"/>
  <c r="M110" i="55" s="1"/>
  <c r="M116" i="53"/>
  <c r="P23" i="53"/>
  <c r="P22" i="53"/>
  <c r="P21" i="53"/>
  <c r="P15" i="53"/>
  <c r="P14" i="53"/>
  <c r="P13" i="53"/>
  <c r="P12" i="53"/>
  <c r="P11" i="53"/>
  <c r="P10" i="53"/>
  <c r="P120" i="53"/>
  <c r="P115" i="53"/>
  <c r="G116" i="53"/>
  <c r="P116" i="53" s="1"/>
  <c r="L122" i="53"/>
  <c r="K122" i="53"/>
  <c r="F122" i="53"/>
  <c r="D122" i="53"/>
  <c r="M121" i="53"/>
  <c r="H121" i="53"/>
  <c r="M120" i="53"/>
  <c r="G120" i="53"/>
  <c r="M119" i="53"/>
  <c r="G119" i="53"/>
  <c r="P119" i="53" s="1"/>
  <c r="F119" i="53"/>
  <c r="M118" i="53"/>
  <c r="G118" i="53"/>
  <c r="P118" i="53" s="1"/>
  <c r="M117" i="53"/>
  <c r="G117" i="53"/>
  <c r="P117" i="53" s="1"/>
  <c r="F117" i="53"/>
  <c r="F116" i="53"/>
  <c r="M115" i="53"/>
  <c r="G115" i="53"/>
  <c r="F115" i="53"/>
  <c r="M114" i="53"/>
  <c r="G114" i="53"/>
  <c r="P114" i="53" s="1"/>
  <c r="F114" i="53"/>
  <c r="H114" i="53" s="1"/>
  <c r="M113" i="53"/>
  <c r="G113" i="53"/>
  <c r="P113" i="53" s="1"/>
  <c r="F113" i="53"/>
  <c r="D110" i="53"/>
  <c r="F109" i="53"/>
  <c r="F108" i="53"/>
  <c r="F107" i="53"/>
  <c r="F106" i="53"/>
  <c r="F105" i="53"/>
  <c r="F104" i="53"/>
  <c r="F103" i="53"/>
  <c r="H103" i="53" s="1"/>
  <c r="F102" i="53"/>
  <c r="G109" i="53"/>
  <c r="P109" i="53" s="1"/>
  <c r="G108" i="53"/>
  <c r="P108" i="53" s="1"/>
  <c r="G107" i="53"/>
  <c r="P107" i="53" s="1"/>
  <c r="G106" i="53"/>
  <c r="P106" i="53" s="1"/>
  <c r="G105" i="53"/>
  <c r="P105" i="53" s="1"/>
  <c r="G104" i="53"/>
  <c r="P104" i="53" s="1"/>
  <c r="G103" i="53"/>
  <c r="P103" i="53" s="1"/>
  <c r="G102" i="53"/>
  <c r="P102" i="53" s="1"/>
  <c r="F99" i="53"/>
  <c r="F98" i="53"/>
  <c r="G98" i="53"/>
  <c r="P98" i="53" s="1"/>
  <c r="G99" i="53"/>
  <c r="P99" i="53" s="1"/>
  <c r="M98" i="53"/>
  <c r="F97" i="53"/>
  <c r="G97" i="53"/>
  <c r="P97" i="53" s="1"/>
  <c r="F93" i="53"/>
  <c r="G93" i="53"/>
  <c r="P93" i="53" s="1"/>
  <c r="G91" i="53"/>
  <c r="P91" i="53" s="1"/>
  <c r="G87" i="53"/>
  <c r="P87" i="53" s="1"/>
  <c r="G86" i="53"/>
  <c r="P86" i="53" s="1"/>
  <c r="G85" i="53"/>
  <c r="P85" i="53" s="1"/>
  <c r="G84" i="53"/>
  <c r="P84" i="53" s="1"/>
  <c r="G83" i="53"/>
  <c r="P83" i="53" s="1"/>
  <c r="G82" i="53"/>
  <c r="P82" i="53" s="1"/>
  <c r="G81" i="53"/>
  <c r="P81" i="53" s="1"/>
  <c r="G80" i="53"/>
  <c r="P80" i="53" s="1"/>
  <c r="F77" i="53"/>
  <c r="F76" i="53"/>
  <c r="H76" i="53" s="1"/>
  <c r="F75" i="53"/>
  <c r="F74" i="53"/>
  <c r="F72" i="53"/>
  <c r="F71" i="53"/>
  <c r="F70" i="53"/>
  <c r="F69" i="53"/>
  <c r="F68" i="53"/>
  <c r="G71" i="53"/>
  <c r="P71" i="53" s="1"/>
  <c r="G70" i="53"/>
  <c r="P70" i="53" s="1"/>
  <c r="G69" i="53"/>
  <c r="P69" i="53" s="1"/>
  <c r="G68" i="53"/>
  <c r="G73" i="53"/>
  <c r="P73" i="53" s="1"/>
  <c r="G74" i="53"/>
  <c r="P74" i="53" s="1"/>
  <c r="F65" i="53"/>
  <c r="G60" i="53"/>
  <c r="P60" i="53" s="1"/>
  <c r="F31" i="53"/>
  <c r="F27" i="53"/>
  <c r="G27" i="53"/>
  <c r="P27" i="53" s="1"/>
  <c r="G32" i="53"/>
  <c r="G31" i="53"/>
  <c r="P31" i="53" s="1"/>
  <c r="F30" i="53"/>
  <c r="G30" i="53"/>
  <c r="P30" i="53" s="1"/>
  <c r="F28" i="53"/>
  <c r="G28" i="53"/>
  <c r="P28" i="53" s="1"/>
  <c r="F26" i="53"/>
  <c r="G29" i="53"/>
  <c r="P29" i="53" s="1"/>
  <c r="G26" i="53"/>
  <c r="P26" i="53" s="1"/>
  <c r="F23" i="53"/>
  <c r="F22" i="53"/>
  <c r="F21" i="53"/>
  <c r="F20" i="53"/>
  <c r="F19" i="53"/>
  <c r="F18" i="53"/>
  <c r="G18" i="53" s="1"/>
  <c r="P18" i="53" s="1"/>
  <c r="F17" i="53"/>
  <c r="F16" i="53"/>
  <c r="F15" i="53"/>
  <c r="H15" i="53" s="1"/>
  <c r="F14" i="53"/>
  <c r="F13" i="53"/>
  <c r="F12" i="53"/>
  <c r="F11" i="53"/>
  <c r="F10" i="53"/>
  <c r="G23" i="53"/>
  <c r="G22" i="53"/>
  <c r="G21" i="53"/>
  <c r="G20" i="53"/>
  <c r="P20" i="53" s="1"/>
  <c r="G19" i="53"/>
  <c r="P19" i="53" s="1"/>
  <c r="G17" i="53"/>
  <c r="P17" i="53" s="1"/>
  <c r="G16" i="53"/>
  <c r="P16" i="53" s="1"/>
  <c r="G15" i="53"/>
  <c r="G14" i="53"/>
  <c r="G13" i="53"/>
  <c r="G12" i="53"/>
  <c r="G11" i="53"/>
  <c r="G10" i="53"/>
  <c r="M109" i="53"/>
  <c r="M107" i="53"/>
  <c r="M106" i="53"/>
  <c r="M104" i="53"/>
  <c r="M103" i="53"/>
  <c r="M102" i="53"/>
  <c r="L100" i="53"/>
  <c r="L110" i="53" s="1"/>
  <c r="K100" i="53"/>
  <c r="K110" i="53" s="1"/>
  <c r="J100" i="53"/>
  <c r="J110" i="53" s="1"/>
  <c r="J122" i="53" s="1"/>
  <c r="I100" i="53"/>
  <c r="I110" i="53" s="1"/>
  <c r="I122" i="53" s="1"/>
  <c r="D100" i="53"/>
  <c r="M99" i="53"/>
  <c r="M96" i="53"/>
  <c r="G96" i="53"/>
  <c r="P96" i="53" s="1"/>
  <c r="F96" i="53"/>
  <c r="H96" i="53" s="1"/>
  <c r="M95" i="53"/>
  <c r="G95" i="53"/>
  <c r="P95" i="53" s="1"/>
  <c r="F95" i="53"/>
  <c r="H95" i="53" s="1"/>
  <c r="M94" i="53"/>
  <c r="G94" i="53"/>
  <c r="P94" i="53" s="1"/>
  <c r="F94" i="53"/>
  <c r="M92" i="53"/>
  <c r="G92" i="53"/>
  <c r="P92" i="53" s="1"/>
  <c r="F92" i="53"/>
  <c r="M91" i="53"/>
  <c r="F91" i="53"/>
  <c r="L89" i="53"/>
  <c r="K89" i="53"/>
  <c r="J89" i="53"/>
  <c r="I89" i="53"/>
  <c r="D89" i="53"/>
  <c r="M88" i="53"/>
  <c r="G88" i="53"/>
  <c r="P88" i="53" s="1"/>
  <c r="F88" i="53"/>
  <c r="M87" i="53"/>
  <c r="F87" i="53"/>
  <c r="M86" i="53"/>
  <c r="F86" i="53"/>
  <c r="M85" i="53"/>
  <c r="F85" i="53"/>
  <c r="M84" i="53"/>
  <c r="F84" i="53"/>
  <c r="M83" i="53"/>
  <c r="F83" i="53"/>
  <c r="H83" i="53" s="1"/>
  <c r="M82" i="53"/>
  <c r="F82" i="53"/>
  <c r="M81" i="53"/>
  <c r="F81" i="53"/>
  <c r="M80" i="53"/>
  <c r="F80" i="53"/>
  <c r="L78" i="53"/>
  <c r="K78" i="53"/>
  <c r="J78" i="53"/>
  <c r="I78" i="53"/>
  <c r="D78" i="53"/>
  <c r="M77" i="53"/>
  <c r="G77" i="53"/>
  <c r="P77" i="53" s="1"/>
  <c r="M76" i="53"/>
  <c r="G76" i="53"/>
  <c r="P76" i="53" s="1"/>
  <c r="M75" i="53"/>
  <c r="G75" i="53"/>
  <c r="P75" i="53" s="1"/>
  <c r="M73" i="53"/>
  <c r="F73" i="53"/>
  <c r="M72" i="53"/>
  <c r="G72" i="53"/>
  <c r="P72" i="53" s="1"/>
  <c r="M71" i="53"/>
  <c r="M70" i="53"/>
  <c r="M69" i="53"/>
  <c r="M68" i="53"/>
  <c r="L66" i="53"/>
  <c r="K66" i="53"/>
  <c r="J66" i="53"/>
  <c r="I66" i="53"/>
  <c r="M65" i="53"/>
  <c r="G65" i="53"/>
  <c r="P65" i="53" s="1"/>
  <c r="M64" i="53"/>
  <c r="D64" i="53"/>
  <c r="F64" i="53" s="1"/>
  <c r="M63" i="53"/>
  <c r="D63" i="53"/>
  <c r="M62" i="53"/>
  <c r="D62" i="53"/>
  <c r="F62" i="53" s="1"/>
  <c r="M61" i="53"/>
  <c r="D61" i="53"/>
  <c r="F61" i="53" s="1"/>
  <c r="M60" i="53"/>
  <c r="D60" i="53"/>
  <c r="F60" i="53" s="1"/>
  <c r="M59" i="53"/>
  <c r="D59" i="53"/>
  <c r="F59" i="53" s="1"/>
  <c r="M58" i="53"/>
  <c r="D58" i="53"/>
  <c r="M57" i="53"/>
  <c r="D57" i="53"/>
  <c r="F57" i="53" s="1"/>
  <c r="M56" i="53"/>
  <c r="D56" i="53"/>
  <c r="F56" i="53" s="1"/>
  <c r="M55" i="53"/>
  <c r="D55" i="53"/>
  <c r="F55" i="53" s="1"/>
  <c r="M54" i="53"/>
  <c r="D54" i="53"/>
  <c r="M53" i="53"/>
  <c r="D53" i="53"/>
  <c r="M52" i="53"/>
  <c r="D52" i="53"/>
  <c r="F52" i="53" s="1"/>
  <c r="M51" i="53"/>
  <c r="D51" i="53"/>
  <c r="F51" i="53" s="1"/>
  <c r="M50" i="53"/>
  <c r="D50" i="53"/>
  <c r="M49" i="53"/>
  <c r="M48" i="53"/>
  <c r="D48" i="53"/>
  <c r="M47" i="53"/>
  <c r="D47" i="53"/>
  <c r="F47" i="53" s="1"/>
  <c r="M46" i="53"/>
  <c r="M45" i="53"/>
  <c r="D45" i="53"/>
  <c r="F46" i="53" s="1"/>
  <c r="M44" i="53"/>
  <c r="D44" i="53"/>
  <c r="M43" i="53"/>
  <c r="D43" i="53"/>
  <c r="F43" i="53" s="1"/>
  <c r="M42" i="53"/>
  <c r="M41" i="53"/>
  <c r="D41" i="53"/>
  <c r="F42" i="53" s="1"/>
  <c r="M40" i="53"/>
  <c r="T39" i="53"/>
  <c r="M39" i="53"/>
  <c r="D39" i="53"/>
  <c r="G40" i="53" s="1"/>
  <c r="M38" i="53"/>
  <c r="D38" i="53"/>
  <c r="G38" i="53" s="1"/>
  <c r="P38" i="53" s="1"/>
  <c r="M37" i="53"/>
  <c r="M36" i="53"/>
  <c r="D36" i="53"/>
  <c r="L34" i="53"/>
  <c r="K34" i="53"/>
  <c r="J34" i="53"/>
  <c r="I34" i="53"/>
  <c r="D34" i="53"/>
  <c r="M33" i="53"/>
  <c r="G33" i="53"/>
  <c r="P33" i="53" s="1"/>
  <c r="F33" i="53"/>
  <c r="P32" i="53"/>
  <c r="M32" i="53"/>
  <c r="F32" i="53"/>
  <c r="H32" i="53" s="1"/>
  <c r="M31" i="53"/>
  <c r="M29" i="53"/>
  <c r="F29" i="53"/>
  <c r="M27" i="53"/>
  <c r="M26" i="53"/>
  <c r="L24" i="53"/>
  <c r="K24" i="53"/>
  <c r="J24" i="53"/>
  <c r="I24" i="53"/>
  <c r="D24" i="53"/>
  <c r="M23" i="53"/>
  <c r="M22" i="53"/>
  <c r="M21" i="53"/>
  <c r="M20" i="53"/>
  <c r="M19" i="53"/>
  <c r="M18" i="53"/>
  <c r="M17" i="53"/>
  <c r="M16" i="53"/>
  <c r="M15" i="53"/>
  <c r="M14" i="53"/>
  <c r="M13" i="53"/>
  <c r="M12" i="53"/>
  <c r="M11" i="53"/>
  <c r="M10" i="53"/>
  <c r="G122" i="53" l="1"/>
  <c r="H70" i="53"/>
  <c r="H65" i="53"/>
  <c r="H116" i="53"/>
  <c r="H78" i="55"/>
  <c r="H61" i="55"/>
  <c r="H107" i="53"/>
  <c r="H84" i="53"/>
  <c r="H118" i="56"/>
  <c r="H66" i="56"/>
  <c r="H34" i="55"/>
  <c r="H48" i="55"/>
  <c r="H121" i="55"/>
  <c r="P121" i="55"/>
  <c r="H89" i="55"/>
  <c r="H24" i="55"/>
  <c r="G66" i="55"/>
  <c r="P36" i="55"/>
  <c r="P66" i="55" s="1"/>
  <c r="H100" i="55"/>
  <c r="H18" i="55"/>
  <c r="H60" i="55"/>
  <c r="H52" i="55"/>
  <c r="H43" i="55"/>
  <c r="F66" i="55"/>
  <c r="H62" i="55"/>
  <c r="H54" i="55"/>
  <c r="M122" i="53"/>
  <c r="P122" i="53"/>
  <c r="H92" i="53"/>
  <c r="H94" i="53"/>
  <c r="F39" i="53"/>
  <c r="H105" i="53"/>
  <c r="H109" i="53"/>
  <c r="G39" i="53"/>
  <c r="P39" i="53" s="1"/>
  <c r="F40" i="53"/>
  <c r="H40" i="53" s="1"/>
  <c r="H30" i="53"/>
  <c r="F45" i="53"/>
  <c r="G57" i="53"/>
  <c r="P57" i="53" s="1"/>
  <c r="G64" i="53"/>
  <c r="P64" i="53" s="1"/>
  <c r="H77" i="53"/>
  <c r="H106" i="53"/>
  <c r="H26" i="53"/>
  <c r="G45" i="53"/>
  <c r="G61" i="53"/>
  <c r="P61" i="53" s="1"/>
  <c r="H93" i="53"/>
  <c r="H80" i="53"/>
  <c r="H31" i="53"/>
  <c r="G52" i="53"/>
  <c r="P52" i="53" s="1"/>
  <c r="G62" i="53"/>
  <c r="H75" i="53"/>
  <c r="H99" i="53"/>
  <c r="F50" i="53"/>
  <c r="G50" i="53"/>
  <c r="H118" i="53"/>
  <c r="G37" i="53"/>
  <c r="P37" i="53" s="1"/>
  <c r="F37" i="53"/>
  <c r="H37" i="53" s="1"/>
  <c r="G36" i="53"/>
  <c r="F36" i="53"/>
  <c r="G46" i="53"/>
  <c r="H46" i="53" s="1"/>
  <c r="F44" i="53"/>
  <c r="F54" i="53"/>
  <c r="G54" i="53"/>
  <c r="P54" i="53" s="1"/>
  <c r="G63" i="53"/>
  <c r="P63" i="53" s="1"/>
  <c r="F49" i="53"/>
  <c r="F48" i="53"/>
  <c r="G49" i="53"/>
  <c r="P49" i="53" s="1"/>
  <c r="G48" i="53"/>
  <c r="P48" i="53" s="1"/>
  <c r="F58" i="53"/>
  <c r="G58" i="53"/>
  <c r="H10" i="53"/>
  <c r="H18" i="53"/>
  <c r="H22" i="53"/>
  <c r="H28" i="53"/>
  <c r="G44" i="53"/>
  <c r="P44" i="53" s="1"/>
  <c r="G56" i="53"/>
  <c r="P56" i="53" s="1"/>
  <c r="H117" i="53"/>
  <c r="F53" i="53"/>
  <c r="G53" i="53"/>
  <c r="P53" i="53" s="1"/>
  <c r="H86" i="53"/>
  <c r="H88" i="53"/>
  <c r="F63" i="53"/>
  <c r="F110" i="53"/>
  <c r="F111" i="53" s="1"/>
  <c r="H98" i="53"/>
  <c r="P40" i="53"/>
  <c r="G41" i="53"/>
  <c r="P41" i="53" s="1"/>
  <c r="F41" i="53"/>
  <c r="G110" i="53"/>
  <c r="H73" i="53"/>
  <c r="H16" i="53"/>
  <c r="H14" i="53"/>
  <c r="G42" i="53"/>
  <c r="G47" i="53"/>
  <c r="P47" i="53" s="1"/>
  <c r="G51" i="53"/>
  <c r="P51" i="53" s="1"/>
  <c r="G55" i="53"/>
  <c r="P55" i="53" s="1"/>
  <c r="G59" i="53"/>
  <c r="P59" i="53" s="1"/>
  <c r="F38" i="53"/>
  <c r="H38" i="53" s="1"/>
  <c r="H74" i="53"/>
  <c r="H115" i="53"/>
  <c r="H119" i="53"/>
  <c r="H120" i="53"/>
  <c r="H113" i="53"/>
  <c r="H108" i="53"/>
  <c r="H102" i="53"/>
  <c r="H97" i="53"/>
  <c r="F100" i="53"/>
  <c r="G100" i="53"/>
  <c r="P100" i="53"/>
  <c r="M89" i="53"/>
  <c r="M66" i="53"/>
  <c r="H91" i="53"/>
  <c r="H87" i="53"/>
  <c r="P89" i="53"/>
  <c r="H71" i="53"/>
  <c r="H69" i="53"/>
  <c r="M78" i="53"/>
  <c r="F34" i="53"/>
  <c r="M24" i="53"/>
  <c r="M34" i="53"/>
  <c r="F24" i="53"/>
  <c r="H21" i="53"/>
  <c r="H13" i="53"/>
  <c r="P34" i="53"/>
  <c r="H19" i="53"/>
  <c r="H20" i="53"/>
  <c r="H27" i="53"/>
  <c r="H29" i="53"/>
  <c r="H60" i="53"/>
  <c r="P62" i="53"/>
  <c r="D66" i="53"/>
  <c r="P68" i="53"/>
  <c r="P78" i="53" s="1"/>
  <c r="G78" i="53"/>
  <c r="H81" i="53"/>
  <c r="H11" i="53"/>
  <c r="H12" i="53"/>
  <c r="G43" i="53"/>
  <c r="P43" i="53" s="1"/>
  <c r="H57" i="53"/>
  <c r="H68" i="53"/>
  <c r="H85" i="53"/>
  <c r="F89" i="53"/>
  <c r="P110" i="53"/>
  <c r="H104" i="53"/>
  <c r="H17" i="53"/>
  <c r="H23" i="53"/>
  <c r="G24" i="53"/>
  <c r="H33" i="53"/>
  <c r="G34" i="53"/>
  <c r="H43" i="53"/>
  <c r="H72" i="53"/>
  <c r="F78" i="53"/>
  <c r="H82" i="53"/>
  <c r="G89" i="53"/>
  <c r="M100" i="53"/>
  <c r="M110" i="53" s="1"/>
  <c r="T37" i="52"/>
  <c r="P46" i="53" l="1"/>
  <c r="H39" i="53"/>
  <c r="H110" i="55"/>
  <c r="H122" i="53"/>
  <c r="H66" i="55"/>
  <c r="H53" i="53"/>
  <c r="H64" i="53"/>
  <c r="H52" i="53"/>
  <c r="H49" i="53"/>
  <c r="H47" i="53"/>
  <c r="P24" i="53"/>
  <c r="H41" i="53"/>
  <c r="H61" i="53"/>
  <c r="H55" i="53"/>
  <c r="H63" i="53"/>
  <c r="H100" i="53"/>
  <c r="H51" i="53"/>
  <c r="P42" i="53"/>
  <c r="H42" i="53"/>
  <c r="H59" i="53"/>
  <c r="H48" i="53"/>
  <c r="H89" i="53"/>
  <c r="H34" i="53"/>
  <c r="H24" i="53"/>
  <c r="P58" i="53"/>
  <c r="H58" i="53"/>
  <c r="H78" i="53"/>
  <c r="H62" i="53"/>
  <c r="P50" i="53"/>
  <c r="H50" i="53"/>
  <c r="H44" i="53"/>
  <c r="F66" i="53"/>
  <c r="H56" i="53"/>
  <c r="P45" i="53"/>
  <c r="H45" i="53"/>
  <c r="G66" i="53"/>
  <c r="P36" i="53"/>
  <c r="H36" i="53"/>
  <c r="H54" i="53"/>
  <c r="G103" i="52"/>
  <c r="P103" i="52" s="1"/>
  <c r="G102" i="52"/>
  <c r="G101" i="52"/>
  <c r="G100" i="52"/>
  <c r="P100" i="52" s="1"/>
  <c r="G99" i="52"/>
  <c r="P99" i="52" s="1"/>
  <c r="G98" i="52"/>
  <c r="P98" i="52" s="1"/>
  <c r="G97" i="52"/>
  <c r="P97" i="52" s="1"/>
  <c r="G96" i="52"/>
  <c r="P96" i="52" s="1"/>
  <c r="F93" i="52"/>
  <c r="F91" i="52"/>
  <c r="F90" i="52"/>
  <c r="F89" i="52"/>
  <c r="F88" i="52"/>
  <c r="G93" i="52"/>
  <c r="G92" i="52"/>
  <c r="G91" i="52"/>
  <c r="P91" i="52" s="1"/>
  <c r="G90" i="52"/>
  <c r="P90" i="52" s="1"/>
  <c r="G89" i="52"/>
  <c r="G88" i="52"/>
  <c r="P88" i="52" s="1"/>
  <c r="F85" i="52"/>
  <c r="F83" i="52"/>
  <c r="H83" i="52" s="1"/>
  <c r="F81" i="52"/>
  <c r="F80" i="52"/>
  <c r="F78" i="52"/>
  <c r="F77" i="52"/>
  <c r="G84" i="52"/>
  <c r="G83" i="52"/>
  <c r="G82" i="52"/>
  <c r="P82" i="52" s="1"/>
  <c r="G81" i="52"/>
  <c r="G79" i="52"/>
  <c r="P79" i="52" s="1"/>
  <c r="G78" i="52"/>
  <c r="P78" i="52" s="1"/>
  <c r="G77" i="52"/>
  <c r="F74" i="52"/>
  <c r="F73" i="52"/>
  <c r="F72" i="52"/>
  <c r="F71" i="52"/>
  <c r="F70" i="52"/>
  <c r="H70" i="52" s="1"/>
  <c r="F69" i="52"/>
  <c r="F68" i="52"/>
  <c r="F67" i="52"/>
  <c r="H67" i="52" s="1"/>
  <c r="F66" i="52"/>
  <c r="G74" i="52"/>
  <c r="P74" i="52" s="1"/>
  <c r="G73" i="52"/>
  <c r="G72" i="52"/>
  <c r="P72" i="52" s="1"/>
  <c r="G71" i="52"/>
  <c r="P71" i="52" s="1"/>
  <c r="G70" i="52"/>
  <c r="G69" i="52"/>
  <c r="P69" i="52" s="1"/>
  <c r="G68" i="52"/>
  <c r="P68" i="52" s="1"/>
  <c r="G67" i="52"/>
  <c r="P67" i="52" s="1"/>
  <c r="G66" i="52"/>
  <c r="F63" i="52"/>
  <c r="H63" i="52" s="1"/>
  <c r="F62" i="52"/>
  <c r="F61" i="52"/>
  <c r="F59" i="52"/>
  <c r="F58" i="52"/>
  <c r="H58" i="52" s="1"/>
  <c r="F57" i="52"/>
  <c r="F54" i="52"/>
  <c r="H54" i="52" s="1"/>
  <c r="F49" i="52"/>
  <c r="F47" i="52"/>
  <c r="F46" i="52"/>
  <c r="F45" i="52"/>
  <c r="F40" i="52"/>
  <c r="F41" i="52"/>
  <c r="F39" i="52"/>
  <c r="F35" i="52"/>
  <c r="F34" i="52"/>
  <c r="G63" i="52"/>
  <c r="G62" i="52"/>
  <c r="P62" i="52" s="1"/>
  <c r="G61" i="52"/>
  <c r="G60" i="52"/>
  <c r="P60" i="52" s="1"/>
  <c r="G55" i="52"/>
  <c r="G51" i="52"/>
  <c r="G49" i="52"/>
  <c r="G47" i="52"/>
  <c r="G46" i="52"/>
  <c r="P46" i="52" s="1"/>
  <c r="G40" i="52"/>
  <c r="G35" i="52"/>
  <c r="G34" i="52"/>
  <c r="M27" i="52"/>
  <c r="G31" i="52"/>
  <c r="P31" i="52" s="1"/>
  <c r="F31" i="52"/>
  <c r="F30" i="52"/>
  <c r="G29" i="52"/>
  <c r="P29" i="52" s="1"/>
  <c r="G28" i="52"/>
  <c r="G27" i="52"/>
  <c r="P27" i="52"/>
  <c r="G26" i="52"/>
  <c r="F23" i="52"/>
  <c r="H23" i="52" s="1"/>
  <c r="G23" i="52"/>
  <c r="P23" i="52" s="1"/>
  <c r="F22" i="52"/>
  <c r="G22" i="52"/>
  <c r="P22" i="52" s="1"/>
  <c r="F21" i="52"/>
  <c r="G21" i="52"/>
  <c r="P21" i="52" s="1"/>
  <c r="G20" i="52"/>
  <c r="F18" i="52"/>
  <c r="G18" i="52" s="1"/>
  <c r="P18" i="52" s="1"/>
  <c r="F16" i="52"/>
  <c r="G16" i="52"/>
  <c r="F15" i="52"/>
  <c r="H15" i="52" s="1"/>
  <c r="G15" i="52"/>
  <c r="P15" i="52" s="1"/>
  <c r="F13" i="52"/>
  <c r="G13" i="52"/>
  <c r="P13" i="52" s="1"/>
  <c r="F12" i="52"/>
  <c r="G12" i="52"/>
  <c r="P12" i="52" s="1"/>
  <c r="F10" i="52"/>
  <c r="G10" i="52"/>
  <c r="P10" i="52" s="1"/>
  <c r="M103" i="52"/>
  <c r="F103" i="52"/>
  <c r="P102" i="52"/>
  <c r="F102" i="52"/>
  <c r="P101" i="52"/>
  <c r="M101" i="52"/>
  <c r="F101" i="52"/>
  <c r="H101" i="52" s="1"/>
  <c r="M100" i="52"/>
  <c r="F100" i="52"/>
  <c r="F99" i="52"/>
  <c r="H99" i="52" s="1"/>
  <c r="M98" i="52"/>
  <c r="F98" i="52"/>
  <c r="M97" i="52"/>
  <c r="F97" i="52"/>
  <c r="M96" i="52"/>
  <c r="F96" i="52"/>
  <c r="H96" i="52" s="1"/>
  <c r="L94" i="52"/>
  <c r="L104" i="52" s="1"/>
  <c r="K94" i="52"/>
  <c r="K104" i="52" s="1"/>
  <c r="J94" i="52"/>
  <c r="J104" i="52" s="1"/>
  <c r="I94" i="52"/>
  <c r="I104" i="52" s="1"/>
  <c r="D94" i="52"/>
  <c r="D104" i="52" s="1"/>
  <c r="M93" i="52"/>
  <c r="P93" i="52"/>
  <c r="P92" i="52"/>
  <c r="M92" i="52"/>
  <c r="F92" i="52"/>
  <c r="H92" i="52" s="1"/>
  <c r="M91" i="52"/>
  <c r="M90" i="52"/>
  <c r="M89" i="52"/>
  <c r="M88" i="52"/>
  <c r="L86" i="52"/>
  <c r="K86" i="52"/>
  <c r="J86" i="52"/>
  <c r="I86" i="52"/>
  <c r="D86" i="52"/>
  <c r="M85" i="52"/>
  <c r="G85" i="52"/>
  <c r="P85" i="52" s="1"/>
  <c r="P84" i="52"/>
  <c r="M84" i="52"/>
  <c r="F84" i="52"/>
  <c r="P83" i="52"/>
  <c r="M83" i="52"/>
  <c r="M82" i="52"/>
  <c r="F82" i="52"/>
  <c r="H82" i="52" s="1"/>
  <c r="M81" i="52"/>
  <c r="H81" i="52"/>
  <c r="P81" i="52"/>
  <c r="P80" i="52"/>
  <c r="M80" i="52"/>
  <c r="G80" i="52"/>
  <c r="H80" i="52" s="1"/>
  <c r="M79" i="52"/>
  <c r="F79" i="52"/>
  <c r="M78" i="52"/>
  <c r="M77" i="52"/>
  <c r="L75" i="52"/>
  <c r="K75" i="52"/>
  <c r="J75" i="52"/>
  <c r="I75" i="52"/>
  <c r="D75" i="52"/>
  <c r="M74" i="52"/>
  <c r="M73" i="52"/>
  <c r="M72" i="52"/>
  <c r="M71" i="52"/>
  <c r="M70" i="52"/>
  <c r="P70" i="52"/>
  <c r="M69" i="52"/>
  <c r="M68" i="52"/>
  <c r="M67" i="52"/>
  <c r="M66" i="52"/>
  <c r="L64" i="52"/>
  <c r="K64" i="52"/>
  <c r="J64" i="52"/>
  <c r="I64" i="52"/>
  <c r="P63" i="52"/>
  <c r="M63" i="52"/>
  <c r="M62" i="52"/>
  <c r="D62" i="52"/>
  <c r="M61" i="52"/>
  <c r="D61" i="52"/>
  <c r="M60" i="52"/>
  <c r="D60" i="52"/>
  <c r="F60" i="52" s="1"/>
  <c r="H60" i="52" s="1"/>
  <c r="M59" i="52"/>
  <c r="D59" i="52"/>
  <c r="G59" i="52" s="1"/>
  <c r="M58" i="52"/>
  <c r="G58" i="52"/>
  <c r="P58" i="52" s="1"/>
  <c r="D58" i="52"/>
  <c r="M57" i="52"/>
  <c r="D57" i="52"/>
  <c r="G57" i="52" s="1"/>
  <c r="M56" i="52"/>
  <c r="D56" i="52"/>
  <c r="F56" i="52" s="1"/>
  <c r="M55" i="52"/>
  <c r="D55" i="52"/>
  <c r="F55" i="52" s="1"/>
  <c r="M54" i="52"/>
  <c r="D54" i="52"/>
  <c r="G54" i="52" s="1"/>
  <c r="P54" i="52" s="1"/>
  <c r="M53" i="52"/>
  <c r="D53" i="52"/>
  <c r="F53" i="52" s="1"/>
  <c r="M52" i="52"/>
  <c r="D52" i="52"/>
  <c r="F52" i="52" s="1"/>
  <c r="M51" i="52"/>
  <c r="D51" i="52"/>
  <c r="F51" i="52" s="1"/>
  <c r="M50" i="52"/>
  <c r="D50" i="52"/>
  <c r="F50" i="52" s="1"/>
  <c r="M49" i="52"/>
  <c r="D49" i="52"/>
  <c r="M48" i="52"/>
  <c r="D48" i="52"/>
  <c r="F48" i="52" s="1"/>
  <c r="M47" i="52"/>
  <c r="M46" i="52"/>
  <c r="D46" i="52"/>
  <c r="M45" i="52"/>
  <c r="D45" i="52"/>
  <c r="G45" i="52" s="1"/>
  <c r="M44" i="52"/>
  <c r="M43" i="52"/>
  <c r="D43" i="52"/>
  <c r="F44" i="52" s="1"/>
  <c r="M42" i="52"/>
  <c r="D42" i="52"/>
  <c r="M41" i="52"/>
  <c r="D41" i="52"/>
  <c r="G41" i="52" s="1"/>
  <c r="P41" i="52" s="1"/>
  <c r="M40" i="52"/>
  <c r="M39" i="52"/>
  <c r="D39" i="52"/>
  <c r="M38" i="52"/>
  <c r="M37" i="52"/>
  <c r="D37" i="52"/>
  <c r="F37" i="52" s="1"/>
  <c r="M36" i="52"/>
  <c r="D36" i="52"/>
  <c r="F36" i="52" s="1"/>
  <c r="M35" i="52"/>
  <c r="M34" i="52"/>
  <c r="D34" i="52"/>
  <c r="L32" i="52"/>
  <c r="K32" i="52"/>
  <c r="J32" i="52"/>
  <c r="I32" i="52"/>
  <c r="D32" i="52"/>
  <c r="M31" i="52"/>
  <c r="M30" i="52"/>
  <c r="G30" i="52"/>
  <c r="P30" i="52" s="1"/>
  <c r="M29" i="52"/>
  <c r="F29" i="52"/>
  <c r="H29" i="52" s="1"/>
  <c r="P28" i="52"/>
  <c r="M28" i="52"/>
  <c r="F28" i="52"/>
  <c r="F27" i="52"/>
  <c r="H27" i="52" s="1"/>
  <c r="M26" i="52"/>
  <c r="F26" i="52"/>
  <c r="L24" i="52"/>
  <c r="K24" i="52"/>
  <c r="J24" i="52"/>
  <c r="I24" i="52"/>
  <c r="D24" i="52"/>
  <c r="M23" i="52"/>
  <c r="M22" i="52"/>
  <c r="M21" i="52"/>
  <c r="H21" i="52"/>
  <c r="M20" i="52"/>
  <c r="P20" i="52"/>
  <c r="F20" i="52"/>
  <c r="P19" i="52"/>
  <c r="M19" i="52"/>
  <c r="G19" i="52"/>
  <c r="F19" i="52"/>
  <c r="H19" i="52" s="1"/>
  <c r="M18" i="52"/>
  <c r="M17" i="52"/>
  <c r="G17" i="52"/>
  <c r="P17" i="52" s="1"/>
  <c r="F17" i="52"/>
  <c r="H17" i="52" s="1"/>
  <c r="M16" i="52"/>
  <c r="P16" i="52"/>
  <c r="M15" i="52"/>
  <c r="P14" i="52"/>
  <c r="M14" i="52"/>
  <c r="G14" i="52"/>
  <c r="F14" i="52"/>
  <c r="H14" i="52" s="1"/>
  <c r="M13" i="52"/>
  <c r="M12" i="52"/>
  <c r="P11" i="52"/>
  <c r="M11" i="52"/>
  <c r="M24" i="52" s="1"/>
  <c r="H11" i="52"/>
  <c r="G11" i="52"/>
  <c r="F11" i="52"/>
  <c r="M10" i="52"/>
  <c r="H41" i="52" l="1"/>
  <c r="H52" i="52"/>
  <c r="G52" i="52"/>
  <c r="P52" i="52" s="1"/>
  <c r="H31" i="52"/>
  <c r="H78" i="52"/>
  <c r="G36" i="52"/>
  <c r="P36" i="52" s="1"/>
  <c r="G50" i="52"/>
  <c r="P50" i="52" s="1"/>
  <c r="H72" i="52"/>
  <c r="H98" i="52"/>
  <c r="G37" i="52"/>
  <c r="H28" i="52"/>
  <c r="F43" i="52"/>
  <c r="H43" i="52" s="1"/>
  <c r="P49" i="52"/>
  <c r="H16" i="52"/>
  <c r="G53" i="52"/>
  <c r="H68" i="52"/>
  <c r="H79" i="52"/>
  <c r="H84" i="52"/>
  <c r="H85" i="52"/>
  <c r="H13" i="52"/>
  <c r="G48" i="52"/>
  <c r="P48" i="52" s="1"/>
  <c r="F42" i="52"/>
  <c r="H62" i="52"/>
  <c r="G42" i="52"/>
  <c r="P42" i="52" s="1"/>
  <c r="H77" i="52"/>
  <c r="H86" i="52" s="1"/>
  <c r="G43" i="52"/>
  <c r="P43" i="52" s="1"/>
  <c r="G56" i="52"/>
  <c r="P56" i="52" s="1"/>
  <c r="H71" i="52"/>
  <c r="H30" i="52"/>
  <c r="G44" i="52"/>
  <c r="P44" i="52" s="1"/>
  <c r="P47" i="52"/>
  <c r="H91" i="52"/>
  <c r="H110" i="53"/>
  <c r="H66" i="53"/>
  <c r="P66" i="53"/>
  <c r="H100" i="52"/>
  <c r="P104" i="52"/>
  <c r="F94" i="52"/>
  <c r="H88" i="52"/>
  <c r="M86" i="52"/>
  <c r="M75" i="52"/>
  <c r="H73" i="52"/>
  <c r="H74" i="52"/>
  <c r="P73" i="52"/>
  <c r="G75" i="52"/>
  <c r="M64" i="52"/>
  <c r="P53" i="52"/>
  <c r="H53" i="52"/>
  <c r="P51" i="52"/>
  <c r="P40" i="52"/>
  <c r="M32" i="52"/>
  <c r="G32" i="52"/>
  <c r="H22" i="52"/>
  <c r="P24" i="52"/>
  <c r="G24" i="52"/>
  <c r="F38" i="52"/>
  <c r="P37" i="52"/>
  <c r="P89" i="52"/>
  <c r="P94" i="52" s="1"/>
  <c r="G94" i="52"/>
  <c r="H89" i="52"/>
  <c r="H12" i="52"/>
  <c r="H20" i="52"/>
  <c r="P26" i="52"/>
  <c r="P32" i="52" s="1"/>
  <c r="G39" i="52"/>
  <c r="P39" i="52" s="1"/>
  <c r="H49" i="52"/>
  <c r="P66" i="52"/>
  <c r="H69" i="52"/>
  <c r="H93" i="52"/>
  <c r="M94" i="52"/>
  <c r="M104" i="52" s="1"/>
  <c r="H103" i="52"/>
  <c r="P35" i="52"/>
  <c r="D64" i="52"/>
  <c r="H37" i="52"/>
  <c r="G38" i="52"/>
  <c r="P38" i="52" s="1"/>
  <c r="H40" i="52"/>
  <c r="H50" i="52"/>
  <c r="H51" i="52"/>
  <c r="P55" i="52"/>
  <c r="H55" i="52"/>
  <c r="P57" i="52"/>
  <c r="H57" i="52"/>
  <c r="P59" i="52"/>
  <c r="H59" i="52"/>
  <c r="P61" i="52"/>
  <c r="H61" i="52"/>
  <c r="P77" i="52"/>
  <c r="P86" i="52" s="1"/>
  <c r="G86" i="52"/>
  <c r="G104" i="52" s="1"/>
  <c r="H10" i="52"/>
  <c r="H18" i="52"/>
  <c r="F24" i="52"/>
  <c r="F32" i="52"/>
  <c r="H26" i="52"/>
  <c r="H46" i="52"/>
  <c r="H47" i="52"/>
  <c r="F75" i="52"/>
  <c r="H66" i="52"/>
  <c r="F86" i="52"/>
  <c r="H90" i="52"/>
  <c r="H97" i="52"/>
  <c r="H102" i="52"/>
  <c r="P31" i="51"/>
  <c r="F103" i="51"/>
  <c r="F102" i="51"/>
  <c r="F101" i="51"/>
  <c r="F99" i="51"/>
  <c r="F98" i="51"/>
  <c r="F96" i="51"/>
  <c r="H96" i="51" s="1"/>
  <c r="G103" i="51"/>
  <c r="H103" i="51" s="1"/>
  <c r="G102" i="51"/>
  <c r="P102" i="51" s="1"/>
  <c r="G101" i="51"/>
  <c r="P101" i="51" s="1"/>
  <c r="G100" i="51"/>
  <c r="P100" i="51" s="1"/>
  <c r="G98" i="51"/>
  <c r="P98" i="51" s="1"/>
  <c r="G97" i="51"/>
  <c r="P97" i="51" s="1"/>
  <c r="G96" i="51"/>
  <c r="F92" i="51"/>
  <c r="F91" i="51"/>
  <c r="H91" i="51" s="1"/>
  <c r="F90" i="51"/>
  <c r="F89" i="51"/>
  <c r="H89" i="51" s="1"/>
  <c r="F88" i="51"/>
  <c r="G92" i="51"/>
  <c r="P92" i="51" s="1"/>
  <c r="G91" i="51"/>
  <c r="P91" i="51" s="1"/>
  <c r="G90" i="51"/>
  <c r="H90" i="51" s="1"/>
  <c r="G89" i="51"/>
  <c r="G88" i="51"/>
  <c r="P88" i="51" s="1"/>
  <c r="F85" i="51"/>
  <c r="F84" i="51"/>
  <c r="F83" i="51"/>
  <c r="H83" i="51" s="1"/>
  <c r="F82" i="51"/>
  <c r="F81" i="51"/>
  <c r="F80" i="51"/>
  <c r="F79" i="51"/>
  <c r="F78" i="51"/>
  <c r="F77" i="51"/>
  <c r="H77" i="51" s="1"/>
  <c r="G85" i="51"/>
  <c r="G84" i="51"/>
  <c r="P84" i="51" s="1"/>
  <c r="G83" i="51"/>
  <c r="P83" i="51" s="1"/>
  <c r="G82" i="51"/>
  <c r="G81" i="51"/>
  <c r="H81" i="51" s="1"/>
  <c r="G80" i="51"/>
  <c r="P80" i="51" s="1"/>
  <c r="G79" i="51"/>
  <c r="P79" i="51" s="1"/>
  <c r="G78" i="51"/>
  <c r="G77" i="51"/>
  <c r="P77" i="51" s="1"/>
  <c r="F74" i="51"/>
  <c r="F73" i="51"/>
  <c r="H73" i="51" s="1"/>
  <c r="F72" i="51"/>
  <c r="H72" i="51" s="1"/>
  <c r="F71" i="51"/>
  <c r="F70" i="51"/>
  <c r="F69" i="51"/>
  <c r="F68" i="51"/>
  <c r="F67" i="51"/>
  <c r="F66" i="51"/>
  <c r="G74" i="51"/>
  <c r="G73" i="51"/>
  <c r="G72" i="51"/>
  <c r="P72" i="51" s="1"/>
  <c r="G71" i="51"/>
  <c r="G70" i="51"/>
  <c r="P70" i="51" s="1"/>
  <c r="G69" i="51"/>
  <c r="P69" i="51" s="1"/>
  <c r="G68" i="51"/>
  <c r="P68" i="51" s="1"/>
  <c r="G67" i="51"/>
  <c r="G66" i="51"/>
  <c r="G63" i="51"/>
  <c r="G61" i="51"/>
  <c r="G60" i="51"/>
  <c r="G51" i="51"/>
  <c r="G50" i="51"/>
  <c r="G49" i="51"/>
  <c r="P49" i="51" s="1"/>
  <c r="G47" i="51"/>
  <c r="P47" i="51" s="1"/>
  <c r="G46" i="51"/>
  <c r="P46" i="51" s="1"/>
  <c r="G45" i="51"/>
  <c r="G42" i="51"/>
  <c r="P42" i="51" s="1"/>
  <c r="G38" i="51"/>
  <c r="G37" i="51"/>
  <c r="P37" i="51" s="1"/>
  <c r="G34" i="51"/>
  <c r="M30" i="51"/>
  <c r="G30" i="51"/>
  <c r="H30" i="51" s="1"/>
  <c r="I32" i="51"/>
  <c r="F27" i="51"/>
  <c r="H27" i="51" s="1"/>
  <c r="P27" i="51"/>
  <c r="G26" i="51"/>
  <c r="P26" i="51" s="1"/>
  <c r="G23" i="51"/>
  <c r="G22" i="51"/>
  <c r="P22" i="51" s="1"/>
  <c r="G21" i="51"/>
  <c r="P21" i="51" s="1"/>
  <c r="G20" i="51"/>
  <c r="G17" i="51"/>
  <c r="P17" i="51" s="1"/>
  <c r="G16" i="51"/>
  <c r="P16" i="51" s="1"/>
  <c r="G15" i="51"/>
  <c r="P15" i="51" s="1"/>
  <c r="G14" i="51"/>
  <c r="P14" i="51" s="1"/>
  <c r="G13" i="51"/>
  <c r="G12" i="51"/>
  <c r="P12" i="51" s="1"/>
  <c r="G11" i="51"/>
  <c r="G10" i="51"/>
  <c r="P10" i="51" s="1"/>
  <c r="I104" i="51"/>
  <c r="P103" i="51"/>
  <c r="M103" i="51"/>
  <c r="M101" i="51"/>
  <c r="M100" i="51"/>
  <c r="F100" i="51"/>
  <c r="G99" i="51"/>
  <c r="P99" i="51" s="1"/>
  <c r="M98" i="51"/>
  <c r="M97" i="51"/>
  <c r="F97" i="51"/>
  <c r="P96" i="51"/>
  <c r="M96" i="51"/>
  <c r="L94" i="51"/>
  <c r="L104" i="51" s="1"/>
  <c r="K94" i="51"/>
  <c r="K104" i="51" s="1"/>
  <c r="J94" i="51"/>
  <c r="J104" i="51" s="1"/>
  <c r="I94" i="51"/>
  <c r="D94" i="51"/>
  <c r="D104" i="51" s="1"/>
  <c r="P93" i="51"/>
  <c r="M93" i="51"/>
  <c r="H93" i="51"/>
  <c r="G93" i="51"/>
  <c r="F93" i="51"/>
  <c r="M92" i="51"/>
  <c r="M91" i="51"/>
  <c r="M90" i="51"/>
  <c r="P90" i="51"/>
  <c r="P89" i="51"/>
  <c r="M89" i="51"/>
  <c r="M88" i="51"/>
  <c r="L86" i="51"/>
  <c r="K86" i="51"/>
  <c r="J86" i="51"/>
  <c r="I86" i="51"/>
  <c r="D86" i="51"/>
  <c r="P85" i="51"/>
  <c r="M85" i="51"/>
  <c r="H85" i="51"/>
  <c r="M84" i="51"/>
  <c r="M83" i="51"/>
  <c r="M82" i="51"/>
  <c r="P82" i="51"/>
  <c r="M81" i="51"/>
  <c r="M80" i="51"/>
  <c r="M79" i="51"/>
  <c r="M78" i="51"/>
  <c r="P78" i="51"/>
  <c r="M77" i="51"/>
  <c r="L75" i="51"/>
  <c r="K75" i="51"/>
  <c r="J75" i="51"/>
  <c r="I75" i="51"/>
  <c r="D75" i="51"/>
  <c r="M74" i="51"/>
  <c r="P74" i="51"/>
  <c r="P73" i="51"/>
  <c r="M73" i="51"/>
  <c r="M75" i="51" s="1"/>
  <c r="M72" i="51"/>
  <c r="P71" i="51"/>
  <c r="M71" i="51"/>
  <c r="M70" i="51"/>
  <c r="M69" i="51"/>
  <c r="M68" i="51"/>
  <c r="M67" i="51"/>
  <c r="P67" i="51"/>
  <c r="M66" i="51"/>
  <c r="L64" i="51"/>
  <c r="K64" i="51"/>
  <c r="J64" i="51"/>
  <c r="I64" i="51"/>
  <c r="P63" i="51"/>
  <c r="M63" i="51"/>
  <c r="F63" i="51"/>
  <c r="H63" i="51" s="1"/>
  <c r="M62" i="51"/>
  <c r="D62" i="51"/>
  <c r="F62" i="51" s="1"/>
  <c r="P61" i="51"/>
  <c r="M61" i="51"/>
  <c r="D61" i="51"/>
  <c r="M60" i="51"/>
  <c r="D60" i="51"/>
  <c r="F60" i="51" s="1"/>
  <c r="M59" i="51"/>
  <c r="D59" i="51"/>
  <c r="M58" i="51"/>
  <c r="D58" i="51"/>
  <c r="F58" i="51" s="1"/>
  <c r="M57" i="51"/>
  <c r="D57" i="51"/>
  <c r="F57" i="51" s="1"/>
  <c r="M56" i="51"/>
  <c r="D56" i="51"/>
  <c r="F56" i="51" s="1"/>
  <c r="M55" i="51"/>
  <c r="G55" i="51"/>
  <c r="P55" i="51" s="1"/>
  <c r="D55" i="51"/>
  <c r="F55" i="51" s="1"/>
  <c r="M54" i="51"/>
  <c r="D54" i="51"/>
  <c r="F54" i="51" s="1"/>
  <c r="M53" i="51"/>
  <c r="D53" i="51"/>
  <c r="G53" i="51" s="1"/>
  <c r="M52" i="51"/>
  <c r="D52" i="51"/>
  <c r="F52" i="51" s="1"/>
  <c r="M51" i="51"/>
  <c r="D51" i="51"/>
  <c r="M50" i="51"/>
  <c r="D50" i="51"/>
  <c r="F50" i="51" s="1"/>
  <c r="M49" i="51"/>
  <c r="D49" i="51"/>
  <c r="F49" i="51" s="1"/>
  <c r="H49" i="51" s="1"/>
  <c r="M48" i="51"/>
  <c r="D48" i="51"/>
  <c r="F48" i="51" s="1"/>
  <c r="M47" i="51"/>
  <c r="F47" i="51"/>
  <c r="M46" i="51"/>
  <c r="F46" i="51"/>
  <c r="H46" i="51" s="1"/>
  <c r="D46" i="51"/>
  <c r="M45" i="51"/>
  <c r="D45" i="51"/>
  <c r="M44" i="51"/>
  <c r="M43" i="51"/>
  <c r="D43" i="51"/>
  <c r="F43" i="51" s="1"/>
  <c r="M42" i="51"/>
  <c r="D42" i="51"/>
  <c r="F42" i="51" s="1"/>
  <c r="M41" i="51"/>
  <c r="D41" i="51"/>
  <c r="F41" i="51" s="1"/>
  <c r="M40" i="51"/>
  <c r="M39" i="51"/>
  <c r="D39" i="51"/>
  <c r="F39" i="51" s="1"/>
  <c r="M38" i="51"/>
  <c r="M37" i="51"/>
  <c r="D37" i="51"/>
  <c r="M36" i="51"/>
  <c r="D36" i="51"/>
  <c r="F36" i="51" s="1"/>
  <c r="M35" i="51"/>
  <c r="F35" i="51"/>
  <c r="P34" i="51"/>
  <c r="M34" i="51"/>
  <c r="D34" i="51"/>
  <c r="F34" i="51" s="1"/>
  <c r="H34" i="51" s="1"/>
  <c r="L32" i="51"/>
  <c r="K32" i="51"/>
  <c r="J32" i="51"/>
  <c r="D32" i="51"/>
  <c r="M31" i="51"/>
  <c r="M29" i="51"/>
  <c r="G29" i="51"/>
  <c r="P29" i="51" s="1"/>
  <c r="F29" i="51"/>
  <c r="M28" i="51"/>
  <c r="G28" i="51"/>
  <c r="P28" i="51" s="1"/>
  <c r="F28" i="51"/>
  <c r="M26" i="51"/>
  <c r="F26" i="51"/>
  <c r="F32" i="51" s="1"/>
  <c r="L24" i="51"/>
  <c r="K24" i="51"/>
  <c r="J24" i="51"/>
  <c r="I24" i="51"/>
  <c r="D24" i="51"/>
  <c r="M23" i="51"/>
  <c r="P23" i="51"/>
  <c r="F23" i="51"/>
  <c r="M22" i="51"/>
  <c r="F22" i="51"/>
  <c r="M21" i="51"/>
  <c r="F21" i="51"/>
  <c r="M20" i="51"/>
  <c r="P20" i="51"/>
  <c r="F20" i="51"/>
  <c r="M19" i="51"/>
  <c r="G19" i="51"/>
  <c r="P19" i="51" s="1"/>
  <c r="F19" i="51"/>
  <c r="M18" i="51"/>
  <c r="F18" i="51"/>
  <c r="G18" i="51" s="1"/>
  <c r="P18" i="51" s="1"/>
  <c r="M17" i="51"/>
  <c r="F17" i="51"/>
  <c r="M16" i="51"/>
  <c r="F16" i="51"/>
  <c r="H16" i="51" s="1"/>
  <c r="M15" i="51"/>
  <c r="H15" i="51"/>
  <c r="F15" i="51"/>
  <c r="M14" i="51"/>
  <c r="F14" i="51"/>
  <c r="H14" i="51" s="1"/>
  <c r="P13" i="51"/>
  <c r="M13" i="51"/>
  <c r="F13" i="51"/>
  <c r="M12" i="51"/>
  <c r="F12" i="51"/>
  <c r="M11" i="51"/>
  <c r="P11" i="51"/>
  <c r="F11" i="51"/>
  <c r="M10" i="51"/>
  <c r="F10" i="51"/>
  <c r="H62" i="51" l="1"/>
  <c r="G39" i="51"/>
  <c r="P39" i="51" s="1"/>
  <c r="G40" i="51"/>
  <c r="P40" i="51" s="1"/>
  <c r="M64" i="51"/>
  <c r="G94" i="51"/>
  <c r="H100" i="51"/>
  <c r="G41" i="51"/>
  <c r="F40" i="51"/>
  <c r="H40" i="51" s="1"/>
  <c r="P45" i="51"/>
  <c r="G54" i="51"/>
  <c r="H13" i="51"/>
  <c r="H21" i="51"/>
  <c r="G43" i="51"/>
  <c r="P43" i="51" s="1"/>
  <c r="G57" i="51"/>
  <c r="P57" i="51" s="1"/>
  <c r="H36" i="52"/>
  <c r="H55" i="51"/>
  <c r="G44" i="51"/>
  <c r="P44" i="51" s="1"/>
  <c r="G59" i="51"/>
  <c r="P59" i="51" s="1"/>
  <c r="H99" i="51"/>
  <c r="P75" i="52"/>
  <c r="F24" i="51"/>
  <c r="G52" i="51"/>
  <c r="H94" i="52"/>
  <c r="P38" i="51"/>
  <c r="H88" i="51"/>
  <c r="H101" i="51"/>
  <c r="H22" i="51"/>
  <c r="F37" i="51"/>
  <c r="H84" i="51"/>
  <c r="H102" i="51"/>
  <c r="H48" i="52"/>
  <c r="H18" i="51"/>
  <c r="G35" i="51"/>
  <c r="P35" i="51" s="1"/>
  <c r="G62" i="51"/>
  <c r="P62" i="51" s="1"/>
  <c r="H67" i="51"/>
  <c r="H32" i="52"/>
  <c r="F38" i="51"/>
  <c r="H38" i="51" s="1"/>
  <c r="P51" i="51"/>
  <c r="G56" i="51"/>
  <c r="P56" i="51" s="1"/>
  <c r="G36" i="51"/>
  <c r="P36" i="51" s="1"/>
  <c r="G48" i="51"/>
  <c r="P48" i="51" s="1"/>
  <c r="H68" i="51"/>
  <c r="P30" i="51"/>
  <c r="H42" i="52"/>
  <c r="H56" i="52"/>
  <c r="H24" i="52"/>
  <c r="H75" i="52"/>
  <c r="P45" i="52"/>
  <c r="H45" i="52"/>
  <c r="H34" i="52"/>
  <c r="H38" i="52"/>
  <c r="H39" i="52"/>
  <c r="H44" i="52"/>
  <c r="G64" i="52"/>
  <c r="P34" i="52"/>
  <c r="F64" i="52"/>
  <c r="H104" i="52"/>
  <c r="H35" i="52"/>
  <c r="H97" i="51"/>
  <c r="F94" i="51"/>
  <c r="H92" i="51"/>
  <c r="H94" i="51" s="1"/>
  <c r="P94" i="51"/>
  <c r="M86" i="51"/>
  <c r="P81" i="51"/>
  <c r="H80" i="51"/>
  <c r="P86" i="51"/>
  <c r="H74" i="51"/>
  <c r="H71" i="51"/>
  <c r="H69" i="51"/>
  <c r="P53" i="51"/>
  <c r="H42" i="51"/>
  <c r="H37" i="51"/>
  <c r="M24" i="51"/>
  <c r="M32" i="51"/>
  <c r="H26" i="51"/>
  <c r="H10" i="51"/>
  <c r="P24" i="51"/>
  <c r="P32" i="51"/>
  <c r="H50" i="51"/>
  <c r="H19" i="51"/>
  <c r="H20" i="51"/>
  <c r="H28" i="51"/>
  <c r="H29" i="51"/>
  <c r="H31" i="51"/>
  <c r="F45" i="51"/>
  <c r="H45" i="51" s="1"/>
  <c r="H48" i="51"/>
  <c r="P50" i="51"/>
  <c r="F51" i="51"/>
  <c r="H51" i="51" s="1"/>
  <c r="H56" i="51"/>
  <c r="G58" i="51"/>
  <c r="P58" i="51" s="1"/>
  <c r="F59" i="51"/>
  <c r="D64" i="51"/>
  <c r="P66" i="51"/>
  <c r="P75" i="51" s="1"/>
  <c r="G75" i="51"/>
  <c r="H78" i="51"/>
  <c r="H11" i="51"/>
  <c r="H12" i="51"/>
  <c r="P52" i="51"/>
  <c r="F53" i="51"/>
  <c r="H53" i="51" s="1"/>
  <c r="P60" i="51"/>
  <c r="F61" i="51"/>
  <c r="H61" i="51" s="1"/>
  <c r="H66" i="51"/>
  <c r="H82" i="51"/>
  <c r="F86" i="51"/>
  <c r="P104" i="51"/>
  <c r="H98" i="51"/>
  <c r="H17" i="51"/>
  <c r="H23" i="51"/>
  <c r="G24" i="51"/>
  <c r="G32" i="51"/>
  <c r="F44" i="51"/>
  <c r="H44" i="51" s="1"/>
  <c r="H47" i="51"/>
  <c r="H70" i="51"/>
  <c r="F75" i="51"/>
  <c r="H79" i="51"/>
  <c r="G86" i="51"/>
  <c r="G104" i="51" s="1"/>
  <c r="M94" i="51"/>
  <c r="M104" i="51" s="1"/>
  <c r="F101" i="50"/>
  <c r="G101" i="50"/>
  <c r="G100" i="50"/>
  <c r="G99" i="50"/>
  <c r="P99" i="50" s="1"/>
  <c r="G98" i="50"/>
  <c r="P98" i="50" s="1"/>
  <c r="G97" i="50"/>
  <c r="P97" i="50" s="1"/>
  <c r="G96" i="50"/>
  <c r="P96" i="50" s="1"/>
  <c r="G95" i="50"/>
  <c r="P95" i="50" s="1"/>
  <c r="G94" i="50"/>
  <c r="F94" i="50"/>
  <c r="G83" i="50"/>
  <c r="P83" i="50" s="1"/>
  <c r="F83" i="50"/>
  <c r="F82" i="50"/>
  <c r="F80" i="50"/>
  <c r="G79" i="50"/>
  <c r="P79" i="50" s="1"/>
  <c r="G78" i="50"/>
  <c r="P78" i="50" s="1"/>
  <c r="G77" i="50"/>
  <c r="P77" i="50" s="1"/>
  <c r="G76" i="50"/>
  <c r="G75" i="50"/>
  <c r="P75" i="50" s="1"/>
  <c r="F75" i="50"/>
  <c r="G91" i="50"/>
  <c r="F91" i="50"/>
  <c r="F90" i="50"/>
  <c r="H90" i="50" s="1"/>
  <c r="G90" i="50"/>
  <c r="P90" i="50" s="1"/>
  <c r="G89" i="50"/>
  <c r="P89" i="50" s="1"/>
  <c r="F89" i="50"/>
  <c r="G88" i="50"/>
  <c r="P88" i="50" s="1"/>
  <c r="G87" i="50"/>
  <c r="P87" i="50" s="1"/>
  <c r="F87" i="50"/>
  <c r="F86" i="50"/>
  <c r="G86" i="50"/>
  <c r="P86" i="50" s="1"/>
  <c r="F60" i="50"/>
  <c r="F57" i="50"/>
  <c r="F53" i="50"/>
  <c r="G52" i="50"/>
  <c r="G50" i="50"/>
  <c r="F49" i="50"/>
  <c r="G49" i="50"/>
  <c r="F46" i="50"/>
  <c r="F45" i="50"/>
  <c r="G45" i="50"/>
  <c r="P45" i="50" s="1"/>
  <c r="G44" i="50"/>
  <c r="F43" i="50"/>
  <c r="G42" i="50"/>
  <c r="P42" i="50" s="1"/>
  <c r="G40" i="50"/>
  <c r="F40" i="50"/>
  <c r="H40" i="50" s="1"/>
  <c r="F38" i="50"/>
  <c r="F37" i="50"/>
  <c r="G37" i="50"/>
  <c r="G36" i="50"/>
  <c r="P36" i="50" s="1"/>
  <c r="F36" i="50"/>
  <c r="G35" i="50"/>
  <c r="G32" i="50"/>
  <c r="G29" i="50"/>
  <c r="P29" i="50" s="1"/>
  <c r="G28" i="50"/>
  <c r="F28" i="50"/>
  <c r="F27" i="50"/>
  <c r="G27" i="50"/>
  <c r="P27" i="50" s="1"/>
  <c r="G26" i="50"/>
  <c r="F26" i="50"/>
  <c r="F23" i="50"/>
  <c r="H23" i="50" s="1"/>
  <c r="G23" i="50"/>
  <c r="G22" i="50"/>
  <c r="P22" i="50" s="1"/>
  <c r="F22" i="50"/>
  <c r="F21" i="50"/>
  <c r="G21" i="50"/>
  <c r="P21" i="50" s="1"/>
  <c r="G20" i="50"/>
  <c r="P20" i="50" s="1"/>
  <c r="F20" i="50"/>
  <c r="F19" i="50"/>
  <c r="G19" i="50"/>
  <c r="P19" i="50" s="1"/>
  <c r="F18" i="50"/>
  <c r="G18" i="50" s="1"/>
  <c r="G17" i="50"/>
  <c r="F17" i="50"/>
  <c r="F16" i="50"/>
  <c r="G16" i="50"/>
  <c r="G15" i="50"/>
  <c r="P15" i="50" s="1"/>
  <c r="F15" i="50"/>
  <c r="H15" i="50" s="1"/>
  <c r="F14" i="50"/>
  <c r="G14" i="50"/>
  <c r="P14" i="50" s="1"/>
  <c r="G13" i="50"/>
  <c r="P13" i="50" s="1"/>
  <c r="F13" i="50"/>
  <c r="H13" i="50" s="1"/>
  <c r="F12" i="50"/>
  <c r="G12" i="50"/>
  <c r="P12" i="50" s="1"/>
  <c r="G11" i="50"/>
  <c r="F11" i="50"/>
  <c r="H11" i="50" s="1"/>
  <c r="G10" i="50"/>
  <c r="F10" i="50"/>
  <c r="P101" i="50"/>
  <c r="M101" i="50"/>
  <c r="H101" i="50"/>
  <c r="P100" i="50"/>
  <c r="F100" i="50"/>
  <c r="M99" i="50"/>
  <c r="F99" i="50"/>
  <c r="H99" i="50" s="1"/>
  <c r="M98" i="50"/>
  <c r="F98" i="50"/>
  <c r="F97" i="50"/>
  <c r="M96" i="50"/>
  <c r="H96" i="50"/>
  <c r="F96" i="50"/>
  <c r="M95" i="50"/>
  <c r="F95" i="50"/>
  <c r="M94" i="50"/>
  <c r="P94" i="50"/>
  <c r="H94" i="50"/>
  <c r="L92" i="50"/>
  <c r="L102" i="50" s="1"/>
  <c r="K92" i="50"/>
  <c r="K102" i="50" s="1"/>
  <c r="J92" i="50"/>
  <c r="J102" i="50" s="1"/>
  <c r="I92" i="50"/>
  <c r="I102" i="50" s="1"/>
  <c r="D92" i="50"/>
  <c r="D102" i="50" s="1"/>
  <c r="P91" i="50"/>
  <c r="M91" i="50"/>
  <c r="M90" i="50"/>
  <c r="M89" i="50"/>
  <c r="M88" i="50"/>
  <c r="F88" i="50"/>
  <c r="M87" i="50"/>
  <c r="M86" i="50"/>
  <c r="L84" i="50"/>
  <c r="K84" i="50"/>
  <c r="J84" i="50"/>
  <c r="I84" i="50"/>
  <c r="D84" i="50"/>
  <c r="M83" i="50"/>
  <c r="M82" i="50"/>
  <c r="G82" i="50"/>
  <c r="P82" i="50" s="1"/>
  <c r="H82" i="50"/>
  <c r="M81" i="50"/>
  <c r="G81" i="50"/>
  <c r="P81" i="50" s="1"/>
  <c r="F81" i="50"/>
  <c r="P80" i="50"/>
  <c r="M80" i="50"/>
  <c r="G80" i="50"/>
  <c r="M79" i="50"/>
  <c r="F79" i="50"/>
  <c r="M78" i="50"/>
  <c r="F78" i="50"/>
  <c r="M77" i="50"/>
  <c r="F77" i="50"/>
  <c r="P76" i="50"/>
  <c r="M76" i="50"/>
  <c r="H76" i="50"/>
  <c r="F76" i="50"/>
  <c r="M75" i="50"/>
  <c r="L73" i="50"/>
  <c r="K73" i="50"/>
  <c r="J73" i="50"/>
  <c r="I73" i="50"/>
  <c r="D73" i="50"/>
  <c r="P72" i="50"/>
  <c r="M72" i="50"/>
  <c r="G72" i="50"/>
  <c r="F72" i="50"/>
  <c r="H72" i="50" s="1"/>
  <c r="P71" i="50"/>
  <c r="M71" i="50"/>
  <c r="G71" i="50"/>
  <c r="F71" i="50"/>
  <c r="H71" i="50" s="1"/>
  <c r="M70" i="50"/>
  <c r="G70" i="50"/>
  <c r="P70" i="50" s="1"/>
  <c r="F70" i="50"/>
  <c r="H70" i="50" s="1"/>
  <c r="M69" i="50"/>
  <c r="G69" i="50"/>
  <c r="P69" i="50" s="1"/>
  <c r="F69" i="50"/>
  <c r="H69" i="50" s="1"/>
  <c r="P68" i="50"/>
  <c r="M68" i="50"/>
  <c r="G68" i="50"/>
  <c r="F68" i="50"/>
  <c r="H68" i="50" s="1"/>
  <c r="M67" i="50"/>
  <c r="G67" i="50"/>
  <c r="P67" i="50" s="1"/>
  <c r="F67" i="50"/>
  <c r="H67" i="50" s="1"/>
  <c r="M66" i="50"/>
  <c r="G66" i="50"/>
  <c r="P66" i="50" s="1"/>
  <c r="F66" i="50"/>
  <c r="H66" i="50" s="1"/>
  <c r="M65" i="50"/>
  <c r="G65" i="50"/>
  <c r="P65" i="50" s="1"/>
  <c r="F65" i="50"/>
  <c r="M64" i="50"/>
  <c r="G64" i="50"/>
  <c r="G73" i="50" s="1"/>
  <c r="F64" i="50"/>
  <c r="F73" i="50" s="1"/>
  <c r="L62" i="50"/>
  <c r="K62" i="50"/>
  <c r="J62" i="50"/>
  <c r="I62" i="50"/>
  <c r="M61" i="50"/>
  <c r="G61" i="50"/>
  <c r="P61" i="50" s="1"/>
  <c r="F61" i="50"/>
  <c r="M60" i="50"/>
  <c r="D60" i="50"/>
  <c r="M59" i="50"/>
  <c r="D59" i="50"/>
  <c r="G59" i="50" s="1"/>
  <c r="P59" i="50" s="1"/>
  <c r="M58" i="50"/>
  <c r="D58" i="50"/>
  <c r="G58" i="50" s="1"/>
  <c r="M57" i="50"/>
  <c r="D57" i="50"/>
  <c r="G57" i="50" s="1"/>
  <c r="P57" i="50" s="1"/>
  <c r="M56" i="50"/>
  <c r="D56" i="50"/>
  <c r="F56" i="50" s="1"/>
  <c r="M55" i="50"/>
  <c r="G55" i="50"/>
  <c r="P55" i="50" s="1"/>
  <c r="D55" i="50"/>
  <c r="F55" i="50" s="1"/>
  <c r="H55" i="50" s="1"/>
  <c r="M54" i="50"/>
  <c r="D54" i="50"/>
  <c r="G54" i="50" s="1"/>
  <c r="M53" i="50"/>
  <c r="D53" i="50"/>
  <c r="G53" i="50" s="1"/>
  <c r="M52" i="50"/>
  <c r="D52" i="50"/>
  <c r="F52" i="50" s="1"/>
  <c r="M51" i="50"/>
  <c r="G51" i="50"/>
  <c r="P51" i="50" s="1"/>
  <c r="F51" i="50"/>
  <c r="H51" i="50" s="1"/>
  <c r="D51" i="50"/>
  <c r="M50" i="50"/>
  <c r="D50" i="50"/>
  <c r="P49" i="50"/>
  <c r="M49" i="50"/>
  <c r="D49" i="50"/>
  <c r="M48" i="50"/>
  <c r="D48" i="50"/>
  <c r="G48" i="50" s="1"/>
  <c r="M47" i="50"/>
  <c r="D47" i="50"/>
  <c r="F47" i="50" s="1"/>
  <c r="M46" i="50"/>
  <c r="D46" i="50"/>
  <c r="G46" i="50" s="1"/>
  <c r="M45" i="50"/>
  <c r="M44" i="50"/>
  <c r="D44" i="50"/>
  <c r="F44" i="50" s="1"/>
  <c r="M43" i="50"/>
  <c r="D43" i="50"/>
  <c r="G43" i="50" s="1"/>
  <c r="P43" i="50" s="1"/>
  <c r="M42" i="50"/>
  <c r="M41" i="50"/>
  <c r="D41" i="50"/>
  <c r="F41" i="50" s="1"/>
  <c r="P40" i="50"/>
  <c r="M40" i="50"/>
  <c r="D40" i="50"/>
  <c r="M39" i="50"/>
  <c r="D39" i="50"/>
  <c r="F39" i="50" s="1"/>
  <c r="M38" i="50"/>
  <c r="M37" i="50"/>
  <c r="D37" i="50"/>
  <c r="G38" i="50" s="1"/>
  <c r="M36" i="50"/>
  <c r="P35" i="50"/>
  <c r="M35" i="50"/>
  <c r="D35" i="50"/>
  <c r="F35" i="50" s="1"/>
  <c r="H35" i="50" s="1"/>
  <c r="M34" i="50"/>
  <c r="D34" i="50"/>
  <c r="M33" i="50"/>
  <c r="M32" i="50"/>
  <c r="D32" i="50"/>
  <c r="F33" i="50" s="1"/>
  <c r="L30" i="50"/>
  <c r="K30" i="50"/>
  <c r="J30" i="50"/>
  <c r="I30" i="50"/>
  <c r="D30" i="50"/>
  <c r="M29" i="50"/>
  <c r="M28" i="50"/>
  <c r="M30" i="50" s="1"/>
  <c r="M27" i="50"/>
  <c r="P26" i="50"/>
  <c r="M26" i="50"/>
  <c r="L24" i="50"/>
  <c r="K24" i="50"/>
  <c r="J24" i="50"/>
  <c r="I24" i="50"/>
  <c r="D24" i="50"/>
  <c r="P23" i="50"/>
  <c r="M23" i="50"/>
  <c r="M22" i="50"/>
  <c r="M21" i="50"/>
  <c r="M20" i="50"/>
  <c r="M19" i="50"/>
  <c r="M18" i="50"/>
  <c r="M17" i="50"/>
  <c r="P17" i="50"/>
  <c r="M16" i="50"/>
  <c r="M15" i="50"/>
  <c r="M14" i="50"/>
  <c r="M13" i="50"/>
  <c r="M12" i="50"/>
  <c r="H12" i="50"/>
  <c r="P11" i="50"/>
  <c r="M11" i="50"/>
  <c r="P10" i="50"/>
  <c r="M10" i="50"/>
  <c r="H57" i="50" l="1"/>
  <c r="H48" i="50"/>
  <c r="F59" i="50"/>
  <c r="F42" i="50"/>
  <c r="H64" i="50"/>
  <c r="H28" i="50"/>
  <c r="H35" i="51"/>
  <c r="P64" i="50"/>
  <c r="P73" i="50" s="1"/>
  <c r="H21" i="50"/>
  <c r="F32" i="50"/>
  <c r="G33" i="50"/>
  <c r="G39" i="50"/>
  <c r="H80" i="50"/>
  <c r="H43" i="51"/>
  <c r="H36" i="51"/>
  <c r="H95" i="50"/>
  <c r="F34" i="50"/>
  <c r="G47" i="50"/>
  <c r="P47" i="50" s="1"/>
  <c r="P50" i="50"/>
  <c r="M84" i="50"/>
  <c r="G34" i="50"/>
  <c r="P34" i="50" s="1"/>
  <c r="G41" i="50"/>
  <c r="F48" i="50"/>
  <c r="H32" i="51"/>
  <c r="H57" i="51"/>
  <c r="H100" i="50"/>
  <c r="H91" i="50"/>
  <c r="H59" i="51"/>
  <c r="H39" i="51"/>
  <c r="H64" i="52"/>
  <c r="P64" i="52"/>
  <c r="H86" i="51"/>
  <c r="H104" i="51" s="1"/>
  <c r="H24" i="51"/>
  <c r="P41" i="51"/>
  <c r="H41" i="51"/>
  <c r="F64" i="51"/>
  <c r="P54" i="51"/>
  <c r="H54" i="51"/>
  <c r="H60" i="51"/>
  <c r="G64" i="51"/>
  <c r="H58" i="51"/>
  <c r="H75" i="51"/>
  <c r="H52" i="51"/>
  <c r="P102" i="50"/>
  <c r="H83" i="50"/>
  <c r="H79" i="50"/>
  <c r="H78" i="50"/>
  <c r="H88" i="50"/>
  <c r="H87" i="50"/>
  <c r="P92" i="50"/>
  <c r="H59" i="50"/>
  <c r="P52" i="50"/>
  <c r="H49" i="50"/>
  <c r="P48" i="50"/>
  <c r="H43" i="50"/>
  <c r="P39" i="50"/>
  <c r="H36" i="50"/>
  <c r="P28" i="50"/>
  <c r="P30" i="50" s="1"/>
  <c r="H27" i="50"/>
  <c r="G30" i="50"/>
  <c r="H26" i="50"/>
  <c r="H20" i="50"/>
  <c r="H19" i="50"/>
  <c r="G24" i="50"/>
  <c r="H39" i="50"/>
  <c r="P54" i="50"/>
  <c r="F54" i="50"/>
  <c r="H54" i="50" s="1"/>
  <c r="F92" i="50"/>
  <c r="H86" i="50"/>
  <c r="P16" i="50"/>
  <c r="H16" i="50"/>
  <c r="P44" i="50"/>
  <c r="H44" i="50"/>
  <c r="P46" i="50"/>
  <c r="H46" i="50"/>
  <c r="P53" i="50"/>
  <c r="H53" i="50"/>
  <c r="D62" i="50"/>
  <c r="H10" i="50"/>
  <c r="F24" i="50"/>
  <c r="H17" i="50"/>
  <c r="M62" i="50"/>
  <c r="G56" i="50"/>
  <c r="P56" i="50" s="1"/>
  <c r="H56" i="50"/>
  <c r="P58" i="50"/>
  <c r="F58" i="50"/>
  <c r="H58" i="50" s="1"/>
  <c r="G60" i="50"/>
  <c r="P60" i="50" s="1"/>
  <c r="H60" i="50"/>
  <c r="P18" i="50"/>
  <c r="F30" i="50"/>
  <c r="H42" i="50"/>
  <c r="P41" i="50"/>
  <c r="H52" i="50"/>
  <c r="H61" i="50"/>
  <c r="P84" i="50"/>
  <c r="H77" i="50"/>
  <c r="G84" i="50"/>
  <c r="M92" i="50"/>
  <c r="M102" i="50" s="1"/>
  <c r="G92" i="50"/>
  <c r="H98" i="50"/>
  <c r="M24" i="50"/>
  <c r="H14" i="50"/>
  <c r="H22" i="50"/>
  <c r="H29" i="50"/>
  <c r="H30" i="50" s="1"/>
  <c r="P33" i="50"/>
  <c r="P38" i="50"/>
  <c r="H45" i="50"/>
  <c r="F50" i="50"/>
  <c r="H50" i="50" s="1"/>
  <c r="M73" i="50"/>
  <c r="H65" i="50"/>
  <c r="F84" i="50"/>
  <c r="H75" i="50"/>
  <c r="H81" i="50"/>
  <c r="H89" i="50"/>
  <c r="H97" i="50"/>
  <c r="P101" i="49"/>
  <c r="P100" i="49"/>
  <c r="P94" i="49"/>
  <c r="P89" i="49"/>
  <c r="P87" i="49"/>
  <c r="P86" i="49"/>
  <c r="G101" i="49"/>
  <c r="G100" i="49"/>
  <c r="H100" i="49" s="1"/>
  <c r="G99" i="49"/>
  <c r="P99" i="49" s="1"/>
  <c r="G98" i="49"/>
  <c r="P98" i="49" s="1"/>
  <c r="G97" i="49"/>
  <c r="P97" i="49" s="1"/>
  <c r="G96" i="49"/>
  <c r="P96" i="49" s="1"/>
  <c r="G95" i="49"/>
  <c r="P95" i="49" s="1"/>
  <c r="G94" i="49"/>
  <c r="F100" i="49"/>
  <c r="F99" i="49"/>
  <c r="F97" i="49"/>
  <c r="F96" i="49"/>
  <c r="F95" i="49"/>
  <c r="F94" i="49"/>
  <c r="H94" i="49" s="1"/>
  <c r="G91" i="49"/>
  <c r="P91" i="49" s="1"/>
  <c r="G90" i="49"/>
  <c r="P90" i="49" s="1"/>
  <c r="G88" i="49"/>
  <c r="P88" i="49" s="1"/>
  <c r="G87" i="49"/>
  <c r="H87" i="49" s="1"/>
  <c r="G86" i="49"/>
  <c r="H86" i="49" s="1"/>
  <c r="F91" i="49"/>
  <c r="F88" i="49"/>
  <c r="F87" i="49"/>
  <c r="F86" i="49"/>
  <c r="G83" i="49"/>
  <c r="P83" i="49" s="1"/>
  <c r="G82" i="49"/>
  <c r="P82" i="49" s="1"/>
  <c r="G81" i="49"/>
  <c r="P81" i="49" s="1"/>
  <c r="G79" i="49"/>
  <c r="P79" i="49" s="1"/>
  <c r="G78" i="49"/>
  <c r="P78" i="49" s="1"/>
  <c r="G77" i="49"/>
  <c r="P77" i="49" s="1"/>
  <c r="G76" i="49"/>
  <c r="P76" i="49" s="1"/>
  <c r="G75" i="49"/>
  <c r="P75" i="49" s="1"/>
  <c r="F83" i="49"/>
  <c r="F82" i="49"/>
  <c r="F81" i="49"/>
  <c r="F80" i="49"/>
  <c r="F79" i="49"/>
  <c r="H79" i="49" s="1"/>
  <c r="F78" i="49"/>
  <c r="F77" i="49"/>
  <c r="F76" i="49"/>
  <c r="F75" i="49"/>
  <c r="G72" i="49"/>
  <c r="P72" i="49" s="1"/>
  <c r="G69" i="49"/>
  <c r="P69" i="49" s="1"/>
  <c r="G67" i="49"/>
  <c r="G66" i="49"/>
  <c r="P66" i="49" s="1"/>
  <c r="G65" i="49"/>
  <c r="P65" i="49" s="1"/>
  <c r="G64" i="49"/>
  <c r="F72" i="49"/>
  <c r="F71" i="49"/>
  <c r="F70" i="49"/>
  <c r="F65" i="49"/>
  <c r="H65" i="49" s="1"/>
  <c r="F64" i="49"/>
  <c r="G61" i="49"/>
  <c r="G60" i="49"/>
  <c r="G59" i="49"/>
  <c r="P59" i="49" s="1"/>
  <c r="G58" i="49"/>
  <c r="G52" i="49"/>
  <c r="G44" i="49"/>
  <c r="G37" i="49"/>
  <c r="G36" i="49"/>
  <c r="G35" i="49"/>
  <c r="F61" i="49"/>
  <c r="F60" i="49"/>
  <c r="F59" i="49"/>
  <c r="F58" i="49"/>
  <c r="F55" i="49"/>
  <c r="F54" i="49"/>
  <c r="F52" i="49"/>
  <c r="H52" i="49" s="1"/>
  <c r="F47" i="49"/>
  <c r="F46" i="49"/>
  <c r="F44" i="49"/>
  <c r="F42" i="49"/>
  <c r="F41" i="49"/>
  <c r="F40" i="49"/>
  <c r="F36" i="49"/>
  <c r="F35" i="49"/>
  <c r="F34" i="49"/>
  <c r="G29" i="49"/>
  <c r="P29" i="49" s="1"/>
  <c r="G28" i="49"/>
  <c r="P28" i="49" s="1"/>
  <c r="G27" i="49"/>
  <c r="P27" i="49" s="1"/>
  <c r="G26" i="49"/>
  <c r="P26" i="49" s="1"/>
  <c r="P30" i="49" s="1"/>
  <c r="F28" i="49"/>
  <c r="F27" i="49"/>
  <c r="F26" i="49"/>
  <c r="G23" i="49"/>
  <c r="P23" i="49" s="1"/>
  <c r="G22" i="49"/>
  <c r="P22" i="49" s="1"/>
  <c r="G21" i="49"/>
  <c r="F23" i="49"/>
  <c r="F22" i="49"/>
  <c r="H22" i="49" s="1"/>
  <c r="F21" i="49"/>
  <c r="G20" i="49"/>
  <c r="P20" i="49" s="1"/>
  <c r="G19" i="49"/>
  <c r="P19" i="49" s="1"/>
  <c r="G18" i="49"/>
  <c r="P18" i="49" s="1"/>
  <c r="F20" i="49"/>
  <c r="F19" i="49"/>
  <c r="F18" i="49"/>
  <c r="F17" i="49"/>
  <c r="F16" i="49"/>
  <c r="H16" i="49" s="1"/>
  <c r="F15" i="49"/>
  <c r="F14" i="49"/>
  <c r="G13" i="49"/>
  <c r="G12" i="49"/>
  <c r="P12" i="49" s="1"/>
  <c r="G11" i="49"/>
  <c r="P11" i="49" s="1"/>
  <c r="G10" i="49"/>
  <c r="P10" i="49" s="1"/>
  <c r="F13" i="49"/>
  <c r="F12" i="49"/>
  <c r="F11" i="49"/>
  <c r="F10" i="49"/>
  <c r="M101" i="49"/>
  <c r="F101" i="49"/>
  <c r="M99" i="49"/>
  <c r="H99" i="49"/>
  <c r="M98" i="49"/>
  <c r="F98" i="49"/>
  <c r="M96" i="49"/>
  <c r="H96" i="49"/>
  <c r="M95" i="49"/>
  <c r="M94" i="49"/>
  <c r="L92" i="49"/>
  <c r="L102" i="49" s="1"/>
  <c r="K92" i="49"/>
  <c r="K102" i="49" s="1"/>
  <c r="J92" i="49"/>
  <c r="J102" i="49" s="1"/>
  <c r="I92" i="49"/>
  <c r="I102" i="49" s="1"/>
  <c r="D92" i="49"/>
  <c r="D102" i="49" s="1"/>
  <c r="M91" i="49"/>
  <c r="H91" i="49"/>
  <c r="M90" i="49"/>
  <c r="F90" i="49"/>
  <c r="H90" i="49" s="1"/>
  <c r="M89" i="49"/>
  <c r="G89" i="49"/>
  <c r="F89" i="49"/>
  <c r="H89" i="49" s="1"/>
  <c r="M88" i="49"/>
  <c r="M87" i="49"/>
  <c r="M86" i="49"/>
  <c r="L84" i="49"/>
  <c r="K84" i="49"/>
  <c r="J84" i="49"/>
  <c r="I84" i="49"/>
  <c r="D84" i="49"/>
  <c r="M83" i="49"/>
  <c r="M82" i="49"/>
  <c r="H82" i="49"/>
  <c r="M81" i="49"/>
  <c r="M80" i="49"/>
  <c r="G80" i="49"/>
  <c r="P80" i="49" s="1"/>
  <c r="M79" i="49"/>
  <c r="M78" i="49"/>
  <c r="M77" i="49"/>
  <c r="M76" i="49"/>
  <c r="M75" i="49"/>
  <c r="L73" i="49"/>
  <c r="K73" i="49"/>
  <c r="J73" i="49"/>
  <c r="I73" i="49"/>
  <c r="D73" i="49"/>
  <c r="M72" i="49"/>
  <c r="M71" i="49"/>
  <c r="G71" i="49"/>
  <c r="P71" i="49" s="1"/>
  <c r="H71" i="49"/>
  <c r="M70" i="49"/>
  <c r="G70" i="49"/>
  <c r="P70" i="49" s="1"/>
  <c r="M69" i="49"/>
  <c r="F69" i="49"/>
  <c r="M68" i="49"/>
  <c r="G68" i="49"/>
  <c r="P68" i="49" s="1"/>
  <c r="F68" i="49"/>
  <c r="H68" i="49" s="1"/>
  <c r="M67" i="49"/>
  <c r="F67" i="49"/>
  <c r="H67" i="49" s="1"/>
  <c r="M66" i="49"/>
  <c r="F66" i="49"/>
  <c r="H66" i="49" s="1"/>
  <c r="M65" i="49"/>
  <c r="P64" i="49"/>
  <c r="M64" i="49"/>
  <c r="L62" i="49"/>
  <c r="K62" i="49"/>
  <c r="J62" i="49"/>
  <c r="I62" i="49"/>
  <c r="M61" i="49"/>
  <c r="P61" i="49"/>
  <c r="M60" i="49"/>
  <c r="H60" i="49"/>
  <c r="D60" i="49"/>
  <c r="M59" i="49"/>
  <c r="D59" i="49"/>
  <c r="M58" i="49"/>
  <c r="D58" i="49"/>
  <c r="M57" i="49"/>
  <c r="D57" i="49"/>
  <c r="G57" i="49" s="1"/>
  <c r="P57" i="49" s="1"/>
  <c r="M56" i="49"/>
  <c r="F56" i="49"/>
  <c r="H56" i="49" s="1"/>
  <c r="D56" i="49"/>
  <c r="G56" i="49" s="1"/>
  <c r="P56" i="49" s="1"/>
  <c r="M55" i="49"/>
  <c r="D55" i="49"/>
  <c r="G55" i="49" s="1"/>
  <c r="P55" i="49" s="1"/>
  <c r="M54" i="49"/>
  <c r="D54" i="49"/>
  <c r="G54" i="49" s="1"/>
  <c r="P54" i="49" s="1"/>
  <c r="M53" i="49"/>
  <c r="D53" i="49"/>
  <c r="G53" i="49" s="1"/>
  <c r="P53" i="49" s="1"/>
  <c r="M52" i="49"/>
  <c r="D52" i="49"/>
  <c r="M51" i="49"/>
  <c r="D51" i="49"/>
  <c r="F51" i="49" s="1"/>
  <c r="M50" i="49"/>
  <c r="D50" i="49"/>
  <c r="F50" i="49" s="1"/>
  <c r="M49" i="49"/>
  <c r="D49" i="49"/>
  <c r="F49" i="49" s="1"/>
  <c r="M48" i="49"/>
  <c r="D48" i="49"/>
  <c r="F48" i="49" s="1"/>
  <c r="M47" i="49"/>
  <c r="D47" i="49"/>
  <c r="G47" i="49" s="1"/>
  <c r="M46" i="49"/>
  <c r="D46" i="49"/>
  <c r="G46" i="49" s="1"/>
  <c r="P46" i="49" s="1"/>
  <c r="M45" i="49"/>
  <c r="M44" i="49"/>
  <c r="D44" i="49"/>
  <c r="F45" i="49" s="1"/>
  <c r="M43" i="49"/>
  <c r="D43" i="49"/>
  <c r="M42" i="49"/>
  <c r="G42" i="49"/>
  <c r="P42" i="49" s="1"/>
  <c r="M41" i="49"/>
  <c r="D41" i="49"/>
  <c r="M40" i="49"/>
  <c r="D40" i="49"/>
  <c r="G40" i="49" s="1"/>
  <c r="M39" i="49"/>
  <c r="D39" i="49"/>
  <c r="G39" i="49" s="1"/>
  <c r="P39" i="49" s="1"/>
  <c r="M38" i="49"/>
  <c r="M37" i="49"/>
  <c r="D37" i="49"/>
  <c r="F38" i="49" s="1"/>
  <c r="M36" i="49"/>
  <c r="P36" i="49"/>
  <c r="M35" i="49"/>
  <c r="D35" i="49"/>
  <c r="M34" i="49"/>
  <c r="D34" i="49"/>
  <c r="G34" i="49" s="1"/>
  <c r="P34" i="49" s="1"/>
  <c r="M33" i="49"/>
  <c r="M32" i="49"/>
  <c r="D32" i="49"/>
  <c r="G33" i="49" s="1"/>
  <c r="L30" i="49"/>
  <c r="K30" i="49"/>
  <c r="J30" i="49"/>
  <c r="I30" i="49"/>
  <c r="D30" i="49"/>
  <c r="M29" i="49"/>
  <c r="M28" i="49"/>
  <c r="M27" i="49"/>
  <c r="M26" i="49"/>
  <c r="M30" i="49" s="1"/>
  <c r="F30" i="49"/>
  <c r="L24" i="49"/>
  <c r="K24" i="49"/>
  <c r="J24" i="49"/>
  <c r="I24" i="49"/>
  <c r="D24" i="49"/>
  <c r="M23" i="49"/>
  <c r="M22" i="49"/>
  <c r="M21" i="49"/>
  <c r="M20" i="49"/>
  <c r="M19" i="49"/>
  <c r="M18" i="49"/>
  <c r="M17" i="49"/>
  <c r="G17" i="49"/>
  <c r="M16" i="49"/>
  <c r="G16" i="49"/>
  <c r="P16" i="49" s="1"/>
  <c r="M15" i="49"/>
  <c r="G15" i="49"/>
  <c r="P15" i="49" s="1"/>
  <c r="M14" i="49"/>
  <c r="G14" i="49"/>
  <c r="P14" i="49" s="1"/>
  <c r="H14" i="49"/>
  <c r="M13" i="49"/>
  <c r="P13" i="49"/>
  <c r="M12" i="49"/>
  <c r="M11" i="49"/>
  <c r="M10" i="49"/>
  <c r="H34" i="49" l="1"/>
  <c r="H55" i="49"/>
  <c r="H34" i="50"/>
  <c r="F33" i="49"/>
  <c r="H78" i="49"/>
  <c r="H101" i="49"/>
  <c r="G50" i="49"/>
  <c r="H50" i="49" s="1"/>
  <c r="F53" i="49"/>
  <c r="H53" i="49" s="1"/>
  <c r="G43" i="49"/>
  <c r="P43" i="49" s="1"/>
  <c r="H76" i="49"/>
  <c r="G38" i="49"/>
  <c r="F32" i="49"/>
  <c r="H32" i="49" s="1"/>
  <c r="F57" i="49"/>
  <c r="H57" i="49" s="1"/>
  <c r="G48" i="49"/>
  <c r="P48" i="49" s="1"/>
  <c r="H59" i="49"/>
  <c r="H73" i="50"/>
  <c r="H83" i="49"/>
  <c r="G51" i="49"/>
  <c r="P51" i="49" s="1"/>
  <c r="H29" i="49"/>
  <c r="F37" i="49"/>
  <c r="G32" i="49"/>
  <c r="P52" i="49"/>
  <c r="H69" i="49"/>
  <c r="H19" i="49"/>
  <c r="H88" i="49"/>
  <c r="H92" i="49" s="1"/>
  <c r="H47" i="50"/>
  <c r="F43" i="49"/>
  <c r="G49" i="49"/>
  <c r="P49" i="49" s="1"/>
  <c r="M73" i="49"/>
  <c r="H61" i="49"/>
  <c r="P60" i="49"/>
  <c r="H20" i="49"/>
  <c r="F39" i="49"/>
  <c r="P64" i="51"/>
  <c r="H64" i="51"/>
  <c r="H92" i="50"/>
  <c r="G102" i="50"/>
  <c r="H41" i="50"/>
  <c r="P32" i="50"/>
  <c r="G62" i="50"/>
  <c r="H32" i="50"/>
  <c r="H18" i="50"/>
  <c r="F62" i="50"/>
  <c r="H38" i="50"/>
  <c r="H24" i="50"/>
  <c r="H84" i="50"/>
  <c r="P37" i="50"/>
  <c r="H37" i="50"/>
  <c r="H33" i="50"/>
  <c r="P24" i="50"/>
  <c r="P102" i="49"/>
  <c r="H95" i="49"/>
  <c r="F92" i="49"/>
  <c r="H81" i="49"/>
  <c r="F84" i="49"/>
  <c r="F102" i="49" s="1"/>
  <c r="H77" i="49"/>
  <c r="M84" i="49"/>
  <c r="H72" i="49"/>
  <c r="G73" i="49"/>
  <c r="F73" i="49"/>
  <c r="H70" i="49"/>
  <c r="M62" i="49"/>
  <c r="P58" i="49"/>
  <c r="H42" i="49"/>
  <c r="H28" i="49"/>
  <c r="H26" i="49"/>
  <c r="M24" i="49"/>
  <c r="H23" i="49"/>
  <c r="F24" i="49"/>
  <c r="H12" i="49"/>
  <c r="H10" i="49"/>
  <c r="H17" i="49"/>
  <c r="P17" i="49"/>
  <c r="P33" i="49"/>
  <c r="D62" i="49"/>
  <c r="P38" i="49"/>
  <c r="P37" i="49"/>
  <c r="P92" i="49"/>
  <c r="G30" i="49"/>
  <c r="H36" i="49"/>
  <c r="H46" i="49"/>
  <c r="H49" i="49"/>
  <c r="H58" i="49"/>
  <c r="G24" i="49"/>
  <c r="H27" i="49"/>
  <c r="H40" i="49"/>
  <c r="P40" i="49"/>
  <c r="H11" i="49"/>
  <c r="H13" i="49"/>
  <c r="H15" i="49"/>
  <c r="H18" i="49"/>
  <c r="H21" i="49"/>
  <c r="P21" i="49"/>
  <c r="H33" i="49"/>
  <c r="H47" i="49"/>
  <c r="P47" i="49"/>
  <c r="H54" i="49"/>
  <c r="P84" i="49"/>
  <c r="H39" i="49"/>
  <c r="P44" i="49"/>
  <c r="H45" i="49"/>
  <c r="H64" i="49"/>
  <c r="H80" i="49"/>
  <c r="G84" i="49"/>
  <c r="G92" i="49"/>
  <c r="P35" i="49"/>
  <c r="G45" i="49"/>
  <c r="P45" i="49" s="1"/>
  <c r="P67" i="49"/>
  <c r="P73" i="49" s="1"/>
  <c r="H97" i="49"/>
  <c r="H98" i="49"/>
  <c r="M92" i="49"/>
  <c r="M102" i="49" s="1"/>
  <c r="G41" i="49"/>
  <c r="P41" i="49" s="1"/>
  <c r="H75" i="49"/>
  <c r="G94" i="48"/>
  <c r="G101" i="48"/>
  <c r="G100" i="48"/>
  <c r="G99" i="48"/>
  <c r="G98" i="48"/>
  <c r="G96" i="48"/>
  <c r="G95" i="48"/>
  <c r="M71" i="48"/>
  <c r="G71" i="48"/>
  <c r="P71" i="48" s="1"/>
  <c r="F71" i="48"/>
  <c r="D43" i="48"/>
  <c r="D39" i="48"/>
  <c r="D32" i="48"/>
  <c r="D35" i="48"/>
  <c r="D37" i="48"/>
  <c r="D34" i="48"/>
  <c r="D40" i="48"/>
  <c r="D41" i="48"/>
  <c r="D46" i="48"/>
  <c r="D44" i="48"/>
  <c r="G45" i="48" s="1"/>
  <c r="P45" i="48" s="1"/>
  <c r="D50" i="48"/>
  <c r="D48" i="48"/>
  <c r="D60" i="48"/>
  <c r="D49" i="48"/>
  <c r="D59" i="48"/>
  <c r="D51" i="48"/>
  <c r="D57" i="48"/>
  <c r="M45" i="48"/>
  <c r="G97" i="48"/>
  <c r="F91" i="48"/>
  <c r="F90" i="48"/>
  <c r="F89" i="48"/>
  <c r="F88" i="48"/>
  <c r="F87" i="48"/>
  <c r="F86" i="48"/>
  <c r="H48" i="49" l="1"/>
  <c r="F45" i="48"/>
  <c r="P50" i="49"/>
  <c r="P24" i="49"/>
  <c r="H73" i="49"/>
  <c r="H43" i="49"/>
  <c r="H51" i="49"/>
  <c r="H102" i="50"/>
  <c r="P62" i="50"/>
  <c r="H62" i="50"/>
  <c r="G102" i="49"/>
  <c r="H30" i="49"/>
  <c r="H41" i="49"/>
  <c r="H44" i="49"/>
  <c r="H38" i="49"/>
  <c r="H24" i="49"/>
  <c r="H84" i="49"/>
  <c r="H102" i="49" s="1"/>
  <c r="P32" i="49"/>
  <c r="G62" i="49"/>
  <c r="F62" i="49"/>
  <c r="H37" i="49"/>
  <c r="H35" i="49"/>
  <c r="H62" i="49" s="1"/>
  <c r="H71" i="48"/>
  <c r="H45" i="48"/>
  <c r="G61" i="48"/>
  <c r="F28" i="48"/>
  <c r="G29" i="48"/>
  <c r="G26" i="48"/>
  <c r="G27" i="48"/>
  <c r="G23" i="48"/>
  <c r="G22" i="48"/>
  <c r="G21" i="48"/>
  <c r="G20" i="48"/>
  <c r="G19" i="48"/>
  <c r="G17" i="48"/>
  <c r="G16" i="48"/>
  <c r="G15" i="48"/>
  <c r="G14" i="48"/>
  <c r="G13" i="48"/>
  <c r="G12" i="48"/>
  <c r="G11" i="48"/>
  <c r="G10" i="48"/>
  <c r="P62" i="49" l="1"/>
  <c r="M101" i="48"/>
  <c r="P101" i="48"/>
  <c r="F101" i="48"/>
  <c r="P100" i="48"/>
  <c r="F100" i="48"/>
  <c r="M99" i="48"/>
  <c r="P99" i="48"/>
  <c r="F99" i="48"/>
  <c r="M98" i="48"/>
  <c r="P98" i="48"/>
  <c r="F98" i="48"/>
  <c r="H98" i="48" s="1"/>
  <c r="P97" i="48"/>
  <c r="F97" i="48"/>
  <c r="H97" i="48" s="1"/>
  <c r="P96" i="48"/>
  <c r="M96" i="48"/>
  <c r="F96" i="48"/>
  <c r="H96" i="48" s="1"/>
  <c r="M95" i="48"/>
  <c r="P95" i="48"/>
  <c r="F95" i="48"/>
  <c r="M94" i="48"/>
  <c r="P94" i="48"/>
  <c r="F94" i="48"/>
  <c r="L92" i="48"/>
  <c r="L102" i="48" s="1"/>
  <c r="K92" i="48"/>
  <c r="K102" i="48" s="1"/>
  <c r="J92" i="48"/>
  <c r="J102" i="48" s="1"/>
  <c r="I92" i="48"/>
  <c r="I102" i="48" s="1"/>
  <c r="D92" i="48"/>
  <c r="D102" i="48" s="1"/>
  <c r="M91" i="48"/>
  <c r="G91" i="48"/>
  <c r="P91" i="48" s="1"/>
  <c r="M90" i="48"/>
  <c r="G90" i="48"/>
  <c r="P90" i="48" s="1"/>
  <c r="M89" i="48"/>
  <c r="G89" i="48"/>
  <c r="P89" i="48" s="1"/>
  <c r="M88" i="48"/>
  <c r="G88" i="48"/>
  <c r="P88" i="48" s="1"/>
  <c r="M87" i="48"/>
  <c r="G87" i="48"/>
  <c r="M86" i="48"/>
  <c r="G86" i="48"/>
  <c r="P86" i="48" s="1"/>
  <c r="L84" i="48"/>
  <c r="K84" i="48"/>
  <c r="J84" i="48"/>
  <c r="I84" i="48"/>
  <c r="D84" i="48"/>
  <c r="M83" i="48"/>
  <c r="G83" i="48"/>
  <c r="P83" i="48" s="1"/>
  <c r="F83" i="48"/>
  <c r="H83" i="48" s="1"/>
  <c r="M82" i="48"/>
  <c r="G82" i="48"/>
  <c r="P82" i="48" s="1"/>
  <c r="F82" i="48"/>
  <c r="M81" i="48"/>
  <c r="G81" i="48"/>
  <c r="P81" i="48" s="1"/>
  <c r="F81" i="48"/>
  <c r="H81" i="48" s="1"/>
  <c r="M80" i="48"/>
  <c r="G80" i="48"/>
  <c r="P80" i="48" s="1"/>
  <c r="F80" i="48"/>
  <c r="H80" i="48" s="1"/>
  <c r="M79" i="48"/>
  <c r="G79" i="48"/>
  <c r="P79" i="48" s="1"/>
  <c r="F79" i="48"/>
  <c r="M78" i="48"/>
  <c r="G78" i="48"/>
  <c r="P78" i="48" s="1"/>
  <c r="F78" i="48"/>
  <c r="M77" i="48"/>
  <c r="G77" i="48"/>
  <c r="P77" i="48" s="1"/>
  <c r="F77" i="48"/>
  <c r="M76" i="48"/>
  <c r="G76" i="48"/>
  <c r="P76" i="48" s="1"/>
  <c r="F76" i="48"/>
  <c r="M75" i="48"/>
  <c r="G75" i="48"/>
  <c r="F75" i="48"/>
  <c r="L73" i="48"/>
  <c r="K73" i="48"/>
  <c r="J73" i="48"/>
  <c r="I73" i="48"/>
  <c r="D73" i="48"/>
  <c r="M72" i="48"/>
  <c r="G72" i="48"/>
  <c r="P72" i="48" s="1"/>
  <c r="F72" i="48"/>
  <c r="H72" i="48" s="1"/>
  <c r="M70" i="48"/>
  <c r="G70" i="48"/>
  <c r="P70" i="48" s="1"/>
  <c r="F70" i="48"/>
  <c r="M69" i="48"/>
  <c r="G69" i="48"/>
  <c r="P69" i="48" s="1"/>
  <c r="F69" i="48"/>
  <c r="M68" i="48"/>
  <c r="G68" i="48"/>
  <c r="P68" i="48" s="1"/>
  <c r="F68" i="48"/>
  <c r="M67" i="48"/>
  <c r="G67" i="48"/>
  <c r="P67" i="48" s="1"/>
  <c r="F67" i="48"/>
  <c r="M66" i="48"/>
  <c r="G66" i="48"/>
  <c r="P66" i="48" s="1"/>
  <c r="F66" i="48"/>
  <c r="M65" i="48"/>
  <c r="G65" i="48"/>
  <c r="P65" i="48" s="1"/>
  <c r="F65" i="48"/>
  <c r="M64" i="48"/>
  <c r="G64" i="48"/>
  <c r="F64" i="48"/>
  <c r="L62" i="48"/>
  <c r="K62" i="48"/>
  <c r="J62" i="48"/>
  <c r="I62" i="48"/>
  <c r="P61" i="48"/>
  <c r="M61" i="48"/>
  <c r="F61" i="48"/>
  <c r="H61" i="48" s="1"/>
  <c r="M60" i="48"/>
  <c r="G60" i="48"/>
  <c r="P60" i="48" s="1"/>
  <c r="M59" i="48"/>
  <c r="G59" i="48"/>
  <c r="M58" i="48"/>
  <c r="D58" i="48"/>
  <c r="G58" i="48" s="1"/>
  <c r="P58" i="48" s="1"/>
  <c r="M57" i="48"/>
  <c r="G57" i="48"/>
  <c r="M56" i="48"/>
  <c r="D56" i="48"/>
  <c r="G56" i="48" s="1"/>
  <c r="P56" i="48" s="1"/>
  <c r="M55" i="48"/>
  <c r="D55" i="48"/>
  <c r="G55" i="48" s="1"/>
  <c r="M54" i="48"/>
  <c r="D54" i="48"/>
  <c r="G54" i="48" s="1"/>
  <c r="P54" i="48" s="1"/>
  <c r="M53" i="48"/>
  <c r="D53" i="48"/>
  <c r="G53" i="48" s="1"/>
  <c r="M52" i="48"/>
  <c r="D52" i="48"/>
  <c r="G52" i="48" s="1"/>
  <c r="P52" i="48" s="1"/>
  <c r="M51" i="48"/>
  <c r="M50" i="48"/>
  <c r="G50" i="48"/>
  <c r="M49" i="48"/>
  <c r="G49" i="48"/>
  <c r="P49" i="48" s="1"/>
  <c r="M48" i="48"/>
  <c r="G48" i="48"/>
  <c r="P48" i="48" s="1"/>
  <c r="M47" i="48"/>
  <c r="D47" i="48"/>
  <c r="M46" i="48"/>
  <c r="G46" i="48"/>
  <c r="P46" i="48" s="1"/>
  <c r="M44" i="48"/>
  <c r="F44" i="48"/>
  <c r="M43" i="48"/>
  <c r="G43" i="48"/>
  <c r="P43" i="48" s="1"/>
  <c r="M42" i="48"/>
  <c r="M41" i="48"/>
  <c r="G41" i="48"/>
  <c r="M40" i="48"/>
  <c r="M39" i="48"/>
  <c r="G39" i="48"/>
  <c r="P39" i="48" s="1"/>
  <c r="M38" i="48"/>
  <c r="M37" i="48"/>
  <c r="M36" i="48"/>
  <c r="M35" i="48"/>
  <c r="M34" i="48"/>
  <c r="G34" i="48"/>
  <c r="M33" i="48"/>
  <c r="M32" i="48"/>
  <c r="L30" i="48"/>
  <c r="K30" i="48"/>
  <c r="J30" i="48"/>
  <c r="I30" i="48"/>
  <c r="D30" i="48"/>
  <c r="M29" i="48"/>
  <c r="P29" i="48"/>
  <c r="M28" i="48"/>
  <c r="G28" i="48"/>
  <c r="P28" i="48" s="1"/>
  <c r="P27" i="48"/>
  <c r="M27" i="48"/>
  <c r="F27" i="48"/>
  <c r="H27" i="48" s="1"/>
  <c r="P26" i="48"/>
  <c r="M26" i="48"/>
  <c r="F26" i="48"/>
  <c r="L24" i="48"/>
  <c r="K24" i="48"/>
  <c r="J24" i="48"/>
  <c r="I24" i="48"/>
  <c r="D24" i="48"/>
  <c r="P23" i="48"/>
  <c r="M23" i="48"/>
  <c r="F23" i="48"/>
  <c r="H23" i="48" s="1"/>
  <c r="M22" i="48"/>
  <c r="P22" i="48"/>
  <c r="F22" i="48"/>
  <c r="P21" i="48"/>
  <c r="M21" i="48"/>
  <c r="F21" i="48"/>
  <c r="H21" i="48" s="1"/>
  <c r="M20" i="48"/>
  <c r="P20" i="48"/>
  <c r="F20" i="48"/>
  <c r="H20" i="48" s="1"/>
  <c r="P19" i="48"/>
  <c r="M19" i="48"/>
  <c r="F19" i="48"/>
  <c r="H19" i="48" s="1"/>
  <c r="M18" i="48"/>
  <c r="F18" i="48"/>
  <c r="G18" i="48" s="1"/>
  <c r="M17" i="48"/>
  <c r="P17" i="48"/>
  <c r="F17" i="48"/>
  <c r="M16" i="48"/>
  <c r="F16" i="48"/>
  <c r="P15" i="48"/>
  <c r="M15" i="48"/>
  <c r="F15" i="48"/>
  <c r="H15" i="48" s="1"/>
  <c r="M14" i="48"/>
  <c r="P14" i="48"/>
  <c r="F14" i="48"/>
  <c r="P13" i="48"/>
  <c r="M13" i="48"/>
  <c r="F13" i="48"/>
  <c r="H13" i="48" s="1"/>
  <c r="M12" i="48"/>
  <c r="P12" i="48"/>
  <c r="F12" i="48"/>
  <c r="H12" i="48" s="1"/>
  <c r="P11" i="48"/>
  <c r="M11" i="48"/>
  <c r="F11" i="48"/>
  <c r="H11" i="48" s="1"/>
  <c r="P10" i="48"/>
  <c r="M10" i="48"/>
  <c r="G24" i="48"/>
  <c r="F10" i="48"/>
  <c r="H10" i="48" s="1"/>
  <c r="G30" i="48" l="1"/>
  <c r="H82" i="48"/>
  <c r="H69" i="48"/>
  <c r="H68" i="48"/>
  <c r="M30" i="48"/>
  <c r="F52" i="48"/>
  <c r="H52" i="48" s="1"/>
  <c r="G73" i="48"/>
  <c r="M84" i="48"/>
  <c r="H77" i="48"/>
  <c r="H78" i="48"/>
  <c r="H86" i="48"/>
  <c r="H94" i="48"/>
  <c r="H99" i="48"/>
  <c r="G33" i="48"/>
  <c r="G32" i="48"/>
  <c r="G38" i="48"/>
  <c r="P38" i="48" s="1"/>
  <c r="G37" i="48"/>
  <c r="F92" i="48"/>
  <c r="F35" i="48"/>
  <c r="G35" i="48"/>
  <c r="G36" i="48"/>
  <c r="P36" i="48" s="1"/>
  <c r="F37" i="48"/>
  <c r="G42" i="48"/>
  <c r="P42" i="48" s="1"/>
  <c r="G40" i="48"/>
  <c r="P40" i="48" s="1"/>
  <c r="F48" i="48"/>
  <c r="H48" i="48" s="1"/>
  <c r="F56" i="48"/>
  <c r="F60" i="48"/>
  <c r="H60" i="48" s="1"/>
  <c r="M73" i="48"/>
  <c r="H65" i="48"/>
  <c r="H90" i="48"/>
  <c r="F24" i="48"/>
  <c r="F39" i="48"/>
  <c r="H39" i="48" s="1"/>
  <c r="G47" i="48"/>
  <c r="P47" i="48" s="1"/>
  <c r="P64" i="48"/>
  <c r="P73" i="48" s="1"/>
  <c r="H28" i="48"/>
  <c r="F43" i="48"/>
  <c r="H43" i="48" s="1"/>
  <c r="G44" i="48"/>
  <c r="H44" i="48" s="1"/>
  <c r="F46" i="48"/>
  <c r="H46" i="48" s="1"/>
  <c r="F50" i="48"/>
  <c r="H50" i="48" s="1"/>
  <c r="F54" i="48"/>
  <c r="H54" i="48" s="1"/>
  <c r="F58" i="48"/>
  <c r="H58" i="48" s="1"/>
  <c r="H67" i="48"/>
  <c r="H89" i="48"/>
  <c r="F40" i="48"/>
  <c r="P16" i="48"/>
  <c r="H16" i="48"/>
  <c r="P50" i="48"/>
  <c r="H76" i="48"/>
  <c r="F84" i="48"/>
  <c r="P87" i="48"/>
  <c r="P92" i="48" s="1"/>
  <c r="G92" i="48"/>
  <c r="H87" i="48"/>
  <c r="P102" i="48"/>
  <c r="H26" i="48"/>
  <c r="F30" i="48"/>
  <c r="D62" i="48"/>
  <c r="F33" i="48"/>
  <c r="P33" i="48"/>
  <c r="F32" i="48"/>
  <c r="P34" i="48"/>
  <c r="F34" i="48"/>
  <c r="H34" i="48" s="1"/>
  <c r="P41" i="48"/>
  <c r="F42" i="48"/>
  <c r="F41" i="48"/>
  <c r="H17" i="48"/>
  <c r="P18" i="48"/>
  <c r="M62" i="48"/>
  <c r="G51" i="48"/>
  <c r="P51" i="48" s="1"/>
  <c r="F51" i="48"/>
  <c r="P75" i="48"/>
  <c r="P84" i="48" s="1"/>
  <c r="G84" i="48"/>
  <c r="F36" i="48"/>
  <c r="F49" i="48"/>
  <c r="H49" i="48" s="1"/>
  <c r="H66" i="48"/>
  <c r="H75" i="48"/>
  <c r="H91" i="48"/>
  <c r="M92" i="48"/>
  <c r="M102" i="48" s="1"/>
  <c r="H101" i="48"/>
  <c r="M24" i="48"/>
  <c r="H14" i="48"/>
  <c r="H22" i="48"/>
  <c r="H29" i="48"/>
  <c r="F38" i="48"/>
  <c r="F47" i="48"/>
  <c r="P53" i="48"/>
  <c r="F53" i="48"/>
  <c r="P55" i="48"/>
  <c r="F55" i="48"/>
  <c r="H55" i="48" s="1"/>
  <c r="H56" i="48"/>
  <c r="P57" i="48"/>
  <c r="F57" i="48"/>
  <c r="H57" i="48" s="1"/>
  <c r="P59" i="48"/>
  <c r="F59" i="48"/>
  <c r="H59" i="48" s="1"/>
  <c r="H64" i="48"/>
  <c r="F73" i="48"/>
  <c r="H70" i="48"/>
  <c r="H79" i="48"/>
  <c r="H88" i="48"/>
  <c r="H95" i="48"/>
  <c r="H100" i="48"/>
  <c r="G102" i="47"/>
  <c r="G101" i="47"/>
  <c r="G99" i="47"/>
  <c r="G98" i="47"/>
  <c r="G97" i="47"/>
  <c r="G95" i="47"/>
  <c r="G94" i="47"/>
  <c r="G93" i="47"/>
  <c r="F88" i="47"/>
  <c r="F87" i="47"/>
  <c r="F86" i="47"/>
  <c r="F85" i="47"/>
  <c r="G89" i="47"/>
  <c r="G88" i="47"/>
  <c r="G87" i="47"/>
  <c r="G86" i="47"/>
  <c r="G85" i="47"/>
  <c r="F74" i="47"/>
  <c r="F82" i="47"/>
  <c r="F80" i="47"/>
  <c r="F79" i="47"/>
  <c r="F78" i="47"/>
  <c r="F77" i="47"/>
  <c r="F76" i="47"/>
  <c r="F75" i="47"/>
  <c r="G82" i="47"/>
  <c r="G81" i="47"/>
  <c r="G80" i="47"/>
  <c r="G79" i="47"/>
  <c r="G78" i="47"/>
  <c r="G77" i="47"/>
  <c r="G76" i="47"/>
  <c r="G75" i="47"/>
  <c r="G74" i="47"/>
  <c r="G68" i="47"/>
  <c r="H47" i="48" l="1"/>
  <c r="H24" i="48"/>
  <c r="H51" i="48"/>
  <c r="F102" i="48"/>
  <c r="H38" i="48"/>
  <c r="H30" i="48"/>
  <c r="H40" i="48"/>
  <c r="P44" i="48"/>
  <c r="H73" i="48"/>
  <c r="G102" i="48"/>
  <c r="H92" i="48"/>
  <c r="P24" i="48"/>
  <c r="P35" i="48"/>
  <c r="H35" i="48"/>
  <c r="G62" i="48"/>
  <c r="P32" i="48"/>
  <c r="P37" i="48"/>
  <c r="H37" i="48"/>
  <c r="H84" i="48"/>
  <c r="H36" i="48"/>
  <c r="H18" i="48"/>
  <c r="H41" i="48"/>
  <c r="H33" i="48"/>
  <c r="F62" i="48"/>
  <c r="H53" i="48"/>
  <c r="H42" i="48"/>
  <c r="H32" i="48"/>
  <c r="P64" i="47"/>
  <c r="F61" i="47"/>
  <c r="F60" i="47"/>
  <c r="F58" i="47"/>
  <c r="F56" i="47"/>
  <c r="F49" i="47"/>
  <c r="F48" i="47"/>
  <c r="F47" i="47"/>
  <c r="H47" i="47" s="1"/>
  <c r="F46" i="47"/>
  <c r="F44" i="47"/>
  <c r="G61" i="47"/>
  <c r="P61" i="47" s="1"/>
  <c r="G60" i="47"/>
  <c r="P60" i="47" s="1"/>
  <c r="G54" i="47"/>
  <c r="G53" i="47"/>
  <c r="G52" i="47"/>
  <c r="G49" i="47"/>
  <c r="P49" i="47" s="1"/>
  <c r="G48" i="47"/>
  <c r="G44" i="47"/>
  <c r="G41" i="47"/>
  <c r="G38" i="47"/>
  <c r="P38" i="47" s="1"/>
  <c r="G37" i="47"/>
  <c r="G36" i="47"/>
  <c r="G29" i="47"/>
  <c r="G27" i="47"/>
  <c r="F26" i="47"/>
  <c r="G26" i="47"/>
  <c r="P26" i="47" s="1"/>
  <c r="F28" i="47"/>
  <c r="F27" i="47"/>
  <c r="F23" i="47"/>
  <c r="F22" i="47"/>
  <c r="H22" i="47" s="1"/>
  <c r="F21" i="47"/>
  <c r="F20" i="47"/>
  <c r="F19" i="47"/>
  <c r="F18" i="47"/>
  <c r="G18" i="47" s="1"/>
  <c r="F17" i="47"/>
  <c r="F16" i="47"/>
  <c r="F15" i="47"/>
  <c r="F14" i="47"/>
  <c r="F13" i="47"/>
  <c r="H13" i="47" s="1"/>
  <c r="F12" i="47"/>
  <c r="H12" i="47" s="1"/>
  <c r="F11" i="47"/>
  <c r="H11" i="47" s="1"/>
  <c r="F10" i="47"/>
  <c r="G23" i="47"/>
  <c r="G22" i="47"/>
  <c r="G21" i="47"/>
  <c r="P21" i="47" s="1"/>
  <c r="G20" i="47"/>
  <c r="G19" i="47"/>
  <c r="G17" i="47"/>
  <c r="P17" i="47" s="1"/>
  <c r="G16" i="47"/>
  <c r="G15" i="47"/>
  <c r="P15" i="47" s="1"/>
  <c r="G14" i="47"/>
  <c r="P14" i="47" s="1"/>
  <c r="G13" i="47"/>
  <c r="P13" i="47" s="1"/>
  <c r="G12" i="47"/>
  <c r="P12" i="47" s="1"/>
  <c r="G11" i="47"/>
  <c r="G10" i="47"/>
  <c r="L103" i="47"/>
  <c r="K103" i="47"/>
  <c r="P102" i="47"/>
  <c r="M102" i="47"/>
  <c r="H102" i="47"/>
  <c r="P101" i="47"/>
  <c r="M101" i="47"/>
  <c r="F101" i="47"/>
  <c r="H101" i="47" s="1"/>
  <c r="P100" i="47"/>
  <c r="H100" i="47"/>
  <c r="G100" i="47"/>
  <c r="F100" i="47"/>
  <c r="P99" i="47"/>
  <c r="M99" i="47"/>
  <c r="F99" i="47"/>
  <c r="H99" i="47" s="1"/>
  <c r="P98" i="47"/>
  <c r="F98" i="47"/>
  <c r="H98" i="47" s="1"/>
  <c r="P97" i="47"/>
  <c r="M97" i="47"/>
  <c r="F97" i="47"/>
  <c r="H97" i="47" s="1"/>
  <c r="G96" i="47"/>
  <c r="P96" i="47" s="1"/>
  <c r="F96" i="47"/>
  <c r="P95" i="47"/>
  <c r="M95" i="47"/>
  <c r="F95" i="47"/>
  <c r="H95" i="47" s="1"/>
  <c r="P94" i="47"/>
  <c r="M94" i="47"/>
  <c r="F94" i="47"/>
  <c r="H94" i="47" s="1"/>
  <c r="P93" i="47"/>
  <c r="M93" i="47"/>
  <c r="F93" i="47"/>
  <c r="H93" i="47" s="1"/>
  <c r="L91" i="47"/>
  <c r="K91" i="47"/>
  <c r="J91" i="47"/>
  <c r="J103" i="47" s="1"/>
  <c r="I91" i="47"/>
  <c r="I103" i="47" s="1"/>
  <c r="D91" i="47"/>
  <c r="D103" i="47" s="1"/>
  <c r="M90" i="47"/>
  <c r="G90" i="47"/>
  <c r="P90" i="47" s="1"/>
  <c r="F90" i="47"/>
  <c r="P89" i="47"/>
  <c r="M89" i="47"/>
  <c r="H89" i="47"/>
  <c r="F89" i="47"/>
  <c r="P88" i="47"/>
  <c r="M88" i="47"/>
  <c r="H88" i="47"/>
  <c r="M87" i="47"/>
  <c r="P87" i="47"/>
  <c r="H87" i="47"/>
  <c r="M86" i="47"/>
  <c r="P85" i="47"/>
  <c r="M85" i="47"/>
  <c r="H85" i="47"/>
  <c r="L83" i="47"/>
  <c r="K83" i="47"/>
  <c r="J83" i="47"/>
  <c r="I83" i="47"/>
  <c r="D83" i="47"/>
  <c r="M82" i="47"/>
  <c r="P82" i="47"/>
  <c r="P81" i="47"/>
  <c r="M81" i="47"/>
  <c r="F81" i="47"/>
  <c r="F83" i="47" s="1"/>
  <c r="P80" i="47"/>
  <c r="M80" i="47"/>
  <c r="H80" i="47"/>
  <c r="P79" i="47"/>
  <c r="M79" i="47"/>
  <c r="M78" i="47"/>
  <c r="H78" i="47"/>
  <c r="P78" i="47"/>
  <c r="P77" i="47"/>
  <c r="M77" i="47"/>
  <c r="H77" i="47"/>
  <c r="P76" i="47"/>
  <c r="M76" i="47"/>
  <c r="H76" i="47"/>
  <c r="P75" i="47"/>
  <c r="M75" i="47"/>
  <c r="H75" i="47"/>
  <c r="M74" i="47"/>
  <c r="L72" i="47"/>
  <c r="K72" i="47"/>
  <c r="J72" i="47"/>
  <c r="I72" i="47"/>
  <c r="D72" i="47"/>
  <c r="M71" i="47"/>
  <c r="G71" i="47"/>
  <c r="P71" i="47" s="1"/>
  <c r="F71" i="47"/>
  <c r="M70" i="47"/>
  <c r="G70" i="47"/>
  <c r="H70" i="47" s="1"/>
  <c r="F70" i="47"/>
  <c r="M69" i="47"/>
  <c r="G69" i="47"/>
  <c r="P69" i="47" s="1"/>
  <c r="F69" i="47"/>
  <c r="H69" i="47" s="1"/>
  <c r="P68" i="47"/>
  <c r="M68" i="47"/>
  <c r="F68" i="47"/>
  <c r="H68" i="47" s="1"/>
  <c r="M67" i="47"/>
  <c r="G67" i="47"/>
  <c r="P67" i="47" s="1"/>
  <c r="F67" i="47"/>
  <c r="M66" i="47"/>
  <c r="G66" i="47"/>
  <c r="P66" i="47" s="1"/>
  <c r="F66" i="47"/>
  <c r="M65" i="47"/>
  <c r="G65" i="47"/>
  <c r="P65" i="47" s="1"/>
  <c r="F65" i="47"/>
  <c r="H65" i="47" s="1"/>
  <c r="M64" i="47"/>
  <c r="G64" i="47"/>
  <c r="F64" i="47"/>
  <c r="L62" i="47"/>
  <c r="K62" i="47"/>
  <c r="J62" i="47"/>
  <c r="I62" i="47"/>
  <c r="M61" i="47"/>
  <c r="M60" i="47"/>
  <c r="M59" i="47"/>
  <c r="D59" i="47"/>
  <c r="G59" i="47" s="1"/>
  <c r="P59" i="47" s="1"/>
  <c r="M58" i="47"/>
  <c r="D58" i="47"/>
  <c r="G58" i="47" s="1"/>
  <c r="P58" i="47" s="1"/>
  <c r="M57" i="47"/>
  <c r="D57" i="47"/>
  <c r="G57" i="47" s="1"/>
  <c r="M56" i="47"/>
  <c r="D56" i="47"/>
  <c r="G56" i="47" s="1"/>
  <c r="M55" i="47"/>
  <c r="D55" i="47"/>
  <c r="F55" i="47" s="1"/>
  <c r="M54" i="47"/>
  <c r="D54" i="47"/>
  <c r="F54" i="47" s="1"/>
  <c r="M53" i="47"/>
  <c r="D53" i="47"/>
  <c r="M52" i="47"/>
  <c r="D52" i="47"/>
  <c r="F52" i="47" s="1"/>
  <c r="M51" i="47"/>
  <c r="D51" i="47"/>
  <c r="G51" i="47" s="1"/>
  <c r="P51" i="47" s="1"/>
  <c r="M50" i="47"/>
  <c r="D50" i="47"/>
  <c r="G50" i="47" s="1"/>
  <c r="M49" i="47"/>
  <c r="D49" i="47"/>
  <c r="M48" i="47"/>
  <c r="D48" i="47"/>
  <c r="M47" i="47"/>
  <c r="D47" i="47"/>
  <c r="G47" i="47" s="1"/>
  <c r="P47" i="47" s="1"/>
  <c r="M46" i="47"/>
  <c r="D46" i="47"/>
  <c r="G46" i="47" s="1"/>
  <c r="H46" i="47" s="1"/>
  <c r="M45" i="47"/>
  <c r="D45" i="47"/>
  <c r="F45" i="47" s="1"/>
  <c r="M44" i="47"/>
  <c r="D44" i="47"/>
  <c r="M43" i="47"/>
  <c r="D43" i="47"/>
  <c r="F43" i="47" s="1"/>
  <c r="M42" i="47"/>
  <c r="M41" i="47"/>
  <c r="D41" i="47"/>
  <c r="M40" i="47"/>
  <c r="D40" i="47"/>
  <c r="F40" i="47" s="1"/>
  <c r="M39" i="47"/>
  <c r="D39" i="47"/>
  <c r="G39" i="47" s="1"/>
  <c r="P39" i="47" s="1"/>
  <c r="M38" i="47"/>
  <c r="M37" i="47"/>
  <c r="D37" i="47"/>
  <c r="F37" i="47" s="1"/>
  <c r="M36" i="47"/>
  <c r="M35" i="47"/>
  <c r="D35" i="47"/>
  <c r="G35" i="47" s="1"/>
  <c r="M34" i="47"/>
  <c r="D34" i="47"/>
  <c r="F34" i="47" s="1"/>
  <c r="M33" i="47"/>
  <c r="M32" i="47"/>
  <c r="D32" i="47"/>
  <c r="G32" i="47" s="1"/>
  <c r="L30" i="47"/>
  <c r="K30" i="47"/>
  <c r="J30" i="47"/>
  <c r="I30" i="47"/>
  <c r="D30" i="47"/>
  <c r="P29" i="47"/>
  <c r="M29" i="47"/>
  <c r="M28" i="47"/>
  <c r="G28" i="47"/>
  <c r="P28" i="47" s="1"/>
  <c r="M27" i="47"/>
  <c r="M26" i="47"/>
  <c r="M30" i="47" s="1"/>
  <c r="L24" i="47"/>
  <c r="K24" i="47"/>
  <c r="J24" i="47"/>
  <c r="I24" i="47"/>
  <c r="D24" i="47"/>
  <c r="M23" i="47"/>
  <c r="M22" i="47"/>
  <c r="P22" i="47"/>
  <c r="M21" i="47"/>
  <c r="H21" i="47"/>
  <c r="P20" i="47"/>
  <c r="M20" i="47"/>
  <c r="H20" i="47"/>
  <c r="P19" i="47"/>
  <c r="M19" i="47"/>
  <c r="H19" i="47"/>
  <c r="M18" i="47"/>
  <c r="M17" i="47"/>
  <c r="P16" i="47"/>
  <c r="M16" i="47"/>
  <c r="H16" i="47"/>
  <c r="M15" i="47"/>
  <c r="M14" i="47"/>
  <c r="M13" i="47"/>
  <c r="M12" i="47"/>
  <c r="P11" i="47"/>
  <c r="M11" i="47"/>
  <c r="M10" i="47"/>
  <c r="H18" i="47" l="1"/>
  <c r="P18" i="47"/>
  <c r="M72" i="47"/>
  <c r="P41" i="47"/>
  <c r="H27" i="47"/>
  <c r="G42" i="47"/>
  <c r="H54" i="47"/>
  <c r="F36" i="47"/>
  <c r="F50" i="47"/>
  <c r="H50" i="47" s="1"/>
  <c r="H67" i="47"/>
  <c r="G43" i="47"/>
  <c r="P43" i="47" s="1"/>
  <c r="G55" i="47"/>
  <c r="P55" i="47" s="1"/>
  <c r="F39" i="47"/>
  <c r="F51" i="47"/>
  <c r="H51" i="47" s="1"/>
  <c r="P70" i="47"/>
  <c r="H81" i="47"/>
  <c r="F32" i="47"/>
  <c r="P34" i="47"/>
  <c r="G33" i="47"/>
  <c r="G45" i="47"/>
  <c r="P45" i="47" s="1"/>
  <c r="F41" i="47"/>
  <c r="H41" i="47" s="1"/>
  <c r="G72" i="47"/>
  <c r="G34" i="47"/>
  <c r="F42" i="47"/>
  <c r="F33" i="47"/>
  <c r="M24" i="47"/>
  <c r="G40" i="47"/>
  <c r="F35" i="47"/>
  <c r="H102" i="48"/>
  <c r="F53" i="47"/>
  <c r="H53" i="47" s="1"/>
  <c r="H49" i="47"/>
  <c r="H71" i="47"/>
  <c r="H62" i="48"/>
  <c r="P62" i="48"/>
  <c r="M83" i="47"/>
  <c r="H61" i="47"/>
  <c r="H60" i="47"/>
  <c r="P54" i="47"/>
  <c r="P50" i="47"/>
  <c r="P46" i="47"/>
  <c r="P27" i="47"/>
  <c r="H26" i="47"/>
  <c r="F30" i="47"/>
  <c r="H23" i="47"/>
  <c r="P23" i="47"/>
  <c r="H17" i="47"/>
  <c r="H15" i="47"/>
  <c r="H14" i="47"/>
  <c r="H48" i="47"/>
  <c r="P48" i="47"/>
  <c r="H44" i="47"/>
  <c r="P44" i="47"/>
  <c r="H56" i="47"/>
  <c r="P56" i="47"/>
  <c r="H52" i="47"/>
  <c r="P52" i="47"/>
  <c r="F24" i="47"/>
  <c r="D62" i="47"/>
  <c r="H64" i="47"/>
  <c r="F72" i="47"/>
  <c r="G24" i="47"/>
  <c r="P10" i="47"/>
  <c r="H29" i="47"/>
  <c r="H39" i="47"/>
  <c r="H82" i="47"/>
  <c r="P86" i="47"/>
  <c r="P91" i="47" s="1"/>
  <c r="G91" i="47"/>
  <c r="H10" i="47"/>
  <c r="H28" i="47"/>
  <c r="G30" i="47"/>
  <c r="H34" i="47"/>
  <c r="P53" i="47"/>
  <c r="P57" i="47"/>
  <c r="F57" i="47"/>
  <c r="F59" i="47"/>
  <c r="H59" i="47" s="1"/>
  <c r="P74" i="47"/>
  <c r="P83" i="47" s="1"/>
  <c r="G83" i="47"/>
  <c r="H79" i="47"/>
  <c r="H86" i="47"/>
  <c r="F91" i="47"/>
  <c r="F103" i="47" s="1"/>
  <c r="M62" i="47"/>
  <c r="F38" i="47"/>
  <c r="H38" i="47" s="1"/>
  <c r="P37" i="47"/>
  <c r="H58" i="47"/>
  <c r="P72" i="47"/>
  <c r="H66" i="47"/>
  <c r="H74" i="47"/>
  <c r="H83" i="47" s="1"/>
  <c r="H90" i="47"/>
  <c r="M91" i="47"/>
  <c r="M103" i="47" s="1"/>
  <c r="P103" i="47"/>
  <c r="H96" i="47"/>
  <c r="G71" i="46"/>
  <c r="P71" i="46" s="1"/>
  <c r="F71" i="46"/>
  <c r="F70" i="46"/>
  <c r="G70" i="46"/>
  <c r="F69" i="46"/>
  <c r="G69" i="46"/>
  <c r="P69" i="46" s="1"/>
  <c r="F68" i="46"/>
  <c r="G68" i="46"/>
  <c r="P68" i="46" s="1"/>
  <c r="G67" i="46"/>
  <c r="P67" i="46" s="1"/>
  <c r="F67" i="46"/>
  <c r="F66" i="46"/>
  <c r="G66" i="46"/>
  <c r="P66" i="46" s="1"/>
  <c r="F65" i="46"/>
  <c r="G64" i="46"/>
  <c r="P64" i="46" s="1"/>
  <c r="F64" i="46"/>
  <c r="P70" i="46"/>
  <c r="P24" i="47" l="1"/>
  <c r="H45" i="47"/>
  <c r="H91" i="47"/>
  <c r="H43" i="47"/>
  <c r="H55" i="47"/>
  <c r="G103" i="47"/>
  <c r="H30" i="47"/>
  <c r="H24" i="47"/>
  <c r="H103" i="47"/>
  <c r="G62" i="47"/>
  <c r="P32" i="47"/>
  <c r="H57" i="47"/>
  <c r="F62" i="47"/>
  <c r="P33" i="47"/>
  <c r="H33" i="47"/>
  <c r="H72" i="47"/>
  <c r="H37" i="47"/>
  <c r="P36" i="47"/>
  <c r="H36" i="47"/>
  <c r="H32" i="47"/>
  <c r="H40" i="47"/>
  <c r="P40" i="47"/>
  <c r="P35" i="47"/>
  <c r="H35" i="47"/>
  <c r="P42" i="47"/>
  <c r="H42" i="47"/>
  <c r="M102" i="46"/>
  <c r="G102" i="46"/>
  <c r="H102" i="46" s="1"/>
  <c r="P101" i="46"/>
  <c r="M101" i="46"/>
  <c r="F101" i="46"/>
  <c r="H101" i="46" s="1"/>
  <c r="G100" i="46"/>
  <c r="P100" i="46" s="1"/>
  <c r="F100" i="46"/>
  <c r="H100" i="46" s="1"/>
  <c r="P99" i="46"/>
  <c r="M99" i="46"/>
  <c r="F99" i="46"/>
  <c r="H99" i="46" s="1"/>
  <c r="P98" i="46"/>
  <c r="F98" i="46"/>
  <c r="H98" i="46" s="1"/>
  <c r="P97" i="46"/>
  <c r="M97" i="46"/>
  <c r="F97" i="46"/>
  <c r="H97" i="46" s="1"/>
  <c r="G96" i="46"/>
  <c r="P96" i="46" s="1"/>
  <c r="F96" i="46"/>
  <c r="H96" i="46" s="1"/>
  <c r="P95" i="46"/>
  <c r="M95" i="46"/>
  <c r="F95" i="46"/>
  <c r="H95" i="46" s="1"/>
  <c r="M94" i="46"/>
  <c r="G94" i="46"/>
  <c r="P94" i="46" s="1"/>
  <c r="F94" i="46"/>
  <c r="P93" i="46"/>
  <c r="M93" i="46"/>
  <c r="F93" i="46"/>
  <c r="H93" i="46" s="1"/>
  <c r="L91" i="46"/>
  <c r="L103" i="46" s="1"/>
  <c r="K91" i="46"/>
  <c r="K103" i="46" s="1"/>
  <c r="J91" i="46"/>
  <c r="J103" i="46" s="1"/>
  <c r="I91" i="46"/>
  <c r="I103" i="46" s="1"/>
  <c r="D91" i="46"/>
  <c r="D103" i="46" s="1"/>
  <c r="M90" i="46"/>
  <c r="G90" i="46"/>
  <c r="P90" i="46" s="1"/>
  <c r="F90" i="46"/>
  <c r="M89" i="46"/>
  <c r="G89" i="46"/>
  <c r="P89" i="46" s="1"/>
  <c r="F89" i="46"/>
  <c r="M88" i="46"/>
  <c r="G88" i="46"/>
  <c r="P88" i="46" s="1"/>
  <c r="F88" i="46"/>
  <c r="M87" i="46"/>
  <c r="G87" i="46"/>
  <c r="P87" i="46" s="1"/>
  <c r="F87" i="46"/>
  <c r="M86" i="46"/>
  <c r="G86" i="46"/>
  <c r="F86" i="46"/>
  <c r="M85" i="46"/>
  <c r="G85" i="46"/>
  <c r="P85" i="46" s="1"/>
  <c r="F85" i="46"/>
  <c r="L83" i="46"/>
  <c r="K83" i="46"/>
  <c r="J83" i="46"/>
  <c r="I83" i="46"/>
  <c r="D83" i="46"/>
  <c r="M82" i="46"/>
  <c r="G82" i="46"/>
  <c r="P82" i="46" s="1"/>
  <c r="F82" i="46"/>
  <c r="M81" i="46"/>
  <c r="G81" i="46"/>
  <c r="P81" i="46" s="1"/>
  <c r="F81" i="46"/>
  <c r="M80" i="46"/>
  <c r="G80" i="46"/>
  <c r="P80" i="46" s="1"/>
  <c r="F80" i="46"/>
  <c r="M79" i="46"/>
  <c r="G79" i="46"/>
  <c r="P79" i="46" s="1"/>
  <c r="F79" i="46"/>
  <c r="M78" i="46"/>
  <c r="G78" i="46"/>
  <c r="P78" i="46" s="1"/>
  <c r="F78" i="46"/>
  <c r="M77" i="46"/>
  <c r="G77" i="46"/>
  <c r="P77" i="46" s="1"/>
  <c r="F77" i="46"/>
  <c r="M76" i="46"/>
  <c r="G76" i="46"/>
  <c r="P76" i="46" s="1"/>
  <c r="F76" i="46"/>
  <c r="H76" i="46" s="1"/>
  <c r="M75" i="46"/>
  <c r="G75" i="46"/>
  <c r="P75" i="46" s="1"/>
  <c r="F75" i="46"/>
  <c r="H75" i="46" s="1"/>
  <c r="M74" i="46"/>
  <c r="G74" i="46"/>
  <c r="F74" i="46"/>
  <c r="L72" i="46"/>
  <c r="K72" i="46"/>
  <c r="J72" i="46"/>
  <c r="I72" i="46"/>
  <c r="D72" i="46"/>
  <c r="M71" i="46"/>
  <c r="M70" i="46"/>
  <c r="M69" i="46"/>
  <c r="H69" i="46"/>
  <c r="M68" i="46"/>
  <c r="H68" i="46"/>
  <c r="M67" i="46"/>
  <c r="H67" i="46"/>
  <c r="M66" i="46"/>
  <c r="M65" i="46"/>
  <c r="G65" i="46"/>
  <c r="P65" i="46" s="1"/>
  <c r="M64" i="46"/>
  <c r="H64" i="46"/>
  <c r="L62" i="46"/>
  <c r="K62" i="46"/>
  <c r="J62" i="46"/>
  <c r="I62" i="46"/>
  <c r="M61" i="46"/>
  <c r="G61" i="46"/>
  <c r="P61" i="46" s="1"/>
  <c r="F61" i="46"/>
  <c r="M60" i="46"/>
  <c r="G60" i="46"/>
  <c r="P60" i="46" s="1"/>
  <c r="M59" i="46"/>
  <c r="D59" i="46"/>
  <c r="F59" i="46" s="1"/>
  <c r="M58" i="46"/>
  <c r="D58" i="46"/>
  <c r="G58" i="46" s="1"/>
  <c r="M57" i="46"/>
  <c r="D57" i="46"/>
  <c r="G57" i="46" s="1"/>
  <c r="P57" i="46" s="1"/>
  <c r="M56" i="46"/>
  <c r="D56" i="46"/>
  <c r="G56" i="46" s="1"/>
  <c r="P56" i="46" s="1"/>
  <c r="M55" i="46"/>
  <c r="D55" i="46"/>
  <c r="G55" i="46" s="1"/>
  <c r="M54" i="46"/>
  <c r="D54" i="46"/>
  <c r="G54" i="46" s="1"/>
  <c r="M53" i="46"/>
  <c r="D53" i="46"/>
  <c r="G53" i="46" s="1"/>
  <c r="P53" i="46" s="1"/>
  <c r="M52" i="46"/>
  <c r="D52" i="46"/>
  <c r="G52" i="46" s="1"/>
  <c r="P52" i="46" s="1"/>
  <c r="M51" i="46"/>
  <c r="D51" i="46"/>
  <c r="G51" i="46" s="1"/>
  <c r="M50" i="46"/>
  <c r="D50" i="46"/>
  <c r="G50" i="46" s="1"/>
  <c r="P50" i="46" s="1"/>
  <c r="M49" i="46"/>
  <c r="D49" i="46"/>
  <c r="G49" i="46" s="1"/>
  <c r="M48" i="46"/>
  <c r="D48" i="46"/>
  <c r="G48" i="46" s="1"/>
  <c r="M47" i="46"/>
  <c r="D47" i="46"/>
  <c r="G47" i="46" s="1"/>
  <c r="P47" i="46" s="1"/>
  <c r="M46" i="46"/>
  <c r="D46" i="46"/>
  <c r="G46" i="46" s="1"/>
  <c r="P46" i="46" s="1"/>
  <c r="M45" i="46"/>
  <c r="D45" i="46"/>
  <c r="G45" i="46" s="1"/>
  <c r="P45" i="46" s="1"/>
  <c r="M44" i="46"/>
  <c r="D44" i="46"/>
  <c r="G44" i="46" s="1"/>
  <c r="M43" i="46"/>
  <c r="D43" i="46"/>
  <c r="G43" i="46" s="1"/>
  <c r="P43" i="46" s="1"/>
  <c r="M42" i="46"/>
  <c r="M41" i="46"/>
  <c r="D41" i="46"/>
  <c r="G41" i="46" s="1"/>
  <c r="P41" i="46" s="1"/>
  <c r="M40" i="46"/>
  <c r="D40" i="46"/>
  <c r="G42" i="46" s="1"/>
  <c r="M39" i="46"/>
  <c r="D39" i="46"/>
  <c r="G39" i="46" s="1"/>
  <c r="P39" i="46" s="1"/>
  <c r="M38" i="46"/>
  <c r="M37" i="46"/>
  <c r="D37" i="46"/>
  <c r="G37" i="46" s="1"/>
  <c r="P37" i="46" s="1"/>
  <c r="M36" i="46"/>
  <c r="F36" i="46"/>
  <c r="M35" i="46"/>
  <c r="D35" i="46"/>
  <c r="G36" i="46" s="1"/>
  <c r="P36" i="46" s="1"/>
  <c r="M34" i="46"/>
  <c r="D34" i="46"/>
  <c r="F34" i="46" s="1"/>
  <c r="M33" i="46"/>
  <c r="F33" i="46"/>
  <c r="M32" i="46"/>
  <c r="D32" i="46"/>
  <c r="G32" i="46" s="1"/>
  <c r="P32" i="46" s="1"/>
  <c r="L30" i="46"/>
  <c r="K30" i="46"/>
  <c r="J30" i="46"/>
  <c r="I30" i="46"/>
  <c r="D30" i="46"/>
  <c r="P29" i="46"/>
  <c r="M29" i="46"/>
  <c r="F29" i="46"/>
  <c r="H29" i="46" s="1"/>
  <c r="M28" i="46"/>
  <c r="G28" i="46"/>
  <c r="P28" i="46" s="1"/>
  <c r="F28" i="46"/>
  <c r="H28" i="46" s="1"/>
  <c r="P27" i="46"/>
  <c r="M27" i="46"/>
  <c r="F27" i="46"/>
  <c r="H27" i="46" s="1"/>
  <c r="P26" i="46"/>
  <c r="M26" i="46"/>
  <c r="F26" i="46"/>
  <c r="L24" i="46"/>
  <c r="K24" i="46"/>
  <c r="J24" i="46"/>
  <c r="I24" i="46"/>
  <c r="D24" i="46"/>
  <c r="M23" i="46"/>
  <c r="G23" i="46"/>
  <c r="P23" i="46" s="1"/>
  <c r="F23" i="46"/>
  <c r="M22" i="46"/>
  <c r="G22" i="46"/>
  <c r="P22" i="46" s="1"/>
  <c r="F22" i="46"/>
  <c r="M21" i="46"/>
  <c r="G21" i="46"/>
  <c r="P21" i="46" s="1"/>
  <c r="F21" i="46"/>
  <c r="M20" i="46"/>
  <c r="G20" i="46"/>
  <c r="P20" i="46" s="1"/>
  <c r="F20" i="46"/>
  <c r="P19" i="46"/>
  <c r="M19" i="46"/>
  <c r="F19" i="46"/>
  <c r="H19" i="46" s="1"/>
  <c r="P18" i="46"/>
  <c r="M18" i="46"/>
  <c r="F18" i="46"/>
  <c r="H18" i="46" s="1"/>
  <c r="M17" i="46"/>
  <c r="G17" i="46"/>
  <c r="P17" i="46" s="1"/>
  <c r="F17" i="46"/>
  <c r="P16" i="46"/>
  <c r="M16" i="46"/>
  <c r="F16" i="46"/>
  <c r="H16" i="46" s="1"/>
  <c r="P15" i="46"/>
  <c r="M15" i="46"/>
  <c r="F15" i="46"/>
  <c r="H15" i="46" s="1"/>
  <c r="P14" i="46"/>
  <c r="M14" i="46"/>
  <c r="F14" i="46"/>
  <c r="H14" i="46" s="1"/>
  <c r="P13" i="46"/>
  <c r="M13" i="46"/>
  <c r="F13" i="46"/>
  <c r="H13" i="46" s="1"/>
  <c r="P12" i="46"/>
  <c r="M12" i="46"/>
  <c r="F12" i="46"/>
  <c r="H12" i="46" s="1"/>
  <c r="P11" i="46"/>
  <c r="M11" i="46"/>
  <c r="F11" i="46"/>
  <c r="H11" i="46" s="1"/>
  <c r="M10" i="46"/>
  <c r="G10" i="46"/>
  <c r="P10" i="46" s="1"/>
  <c r="F10" i="46"/>
  <c r="H17" i="46" l="1"/>
  <c r="H74" i="46"/>
  <c r="H86" i="46"/>
  <c r="H62" i="47"/>
  <c r="P62" i="47"/>
  <c r="M24" i="46"/>
  <c r="H89" i="46"/>
  <c r="H10" i="46"/>
  <c r="H52" i="46"/>
  <c r="H77" i="46"/>
  <c r="H85" i="46"/>
  <c r="H91" i="46" s="1"/>
  <c r="H87" i="46"/>
  <c r="H88" i="46"/>
  <c r="H42" i="46"/>
  <c r="P42" i="46"/>
  <c r="H54" i="46"/>
  <c r="P54" i="46"/>
  <c r="P49" i="46"/>
  <c r="H49" i="46"/>
  <c r="H51" i="46"/>
  <c r="P51" i="46"/>
  <c r="H48" i="46"/>
  <c r="P48" i="46"/>
  <c r="H55" i="46"/>
  <c r="P55" i="46"/>
  <c r="H58" i="46"/>
  <c r="P58" i="46"/>
  <c r="F83" i="46"/>
  <c r="P24" i="46"/>
  <c r="H23" i="46"/>
  <c r="G24" i="46"/>
  <c r="F32" i="46"/>
  <c r="H32" i="46" s="1"/>
  <c r="G33" i="46"/>
  <c r="P33" i="46" s="1"/>
  <c r="F38" i="46"/>
  <c r="F57" i="46"/>
  <c r="H57" i="46" s="1"/>
  <c r="H81" i="46"/>
  <c r="H90" i="46"/>
  <c r="H94" i="46"/>
  <c r="F30" i="46"/>
  <c r="M30" i="46"/>
  <c r="M62" i="46"/>
  <c r="F37" i="46"/>
  <c r="H37" i="46" s="1"/>
  <c r="G38" i="46"/>
  <c r="P38" i="46" s="1"/>
  <c r="P102" i="46"/>
  <c r="H21" i="46"/>
  <c r="H22" i="46"/>
  <c r="G30" i="46"/>
  <c r="H36" i="46"/>
  <c r="G40" i="46"/>
  <c r="P40" i="46" s="1"/>
  <c r="H44" i="46"/>
  <c r="P44" i="46"/>
  <c r="G59" i="46"/>
  <c r="P59" i="46" s="1"/>
  <c r="H61" i="46"/>
  <c r="H80" i="46"/>
  <c r="M91" i="46"/>
  <c r="M103" i="46" s="1"/>
  <c r="M83" i="46"/>
  <c r="M72" i="46"/>
  <c r="H43" i="46"/>
  <c r="H46" i="46"/>
  <c r="H24" i="46"/>
  <c r="H47" i="46"/>
  <c r="H41" i="46"/>
  <c r="H50" i="46"/>
  <c r="D62" i="46"/>
  <c r="H39" i="46"/>
  <c r="H53" i="46"/>
  <c r="H65" i="46"/>
  <c r="H70" i="46"/>
  <c r="H78" i="46"/>
  <c r="G34" i="46"/>
  <c r="P34" i="46" s="1"/>
  <c r="F35" i="46"/>
  <c r="F62" i="46"/>
  <c r="H60" i="46"/>
  <c r="P72" i="46"/>
  <c r="H82" i="46"/>
  <c r="P86" i="46"/>
  <c r="P91" i="46" s="1"/>
  <c r="G91" i="46"/>
  <c r="F24" i="46"/>
  <c r="P103" i="46"/>
  <c r="H26" i="46"/>
  <c r="H30" i="46" s="1"/>
  <c r="H20" i="46"/>
  <c r="G35" i="46"/>
  <c r="P35" i="46" s="1"/>
  <c r="H45" i="46"/>
  <c r="H56" i="46"/>
  <c r="G72" i="46"/>
  <c r="F72" i="46"/>
  <c r="H66" i="46"/>
  <c r="H71" i="46"/>
  <c r="P74" i="46"/>
  <c r="P83" i="46" s="1"/>
  <c r="G83" i="46"/>
  <c r="H79" i="46"/>
  <c r="F91" i="46"/>
  <c r="G96" i="45"/>
  <c r="F97" i="45"/>
  <c r="G94" i="45"/>
  <c r="F93" i="45"/>
  <c r="G88" i="45"/>
  <c r="G87" i="45"/>
  <c r="G86" i="45"/>
  <c r="G85" i="45"/>
  <c r="F89" i="45"/>
  <c r="F88" i="45"/>
  <c r="F87" i="45"/>
  <c r="F86" i="45"/>
  <c r="F85" i="45"/>
  <c r="P79" i="45"/>
  <c r="G79" i="45"/>
  <c r="G80" i="45"/>
  <c r="P80" i="45" s="1"/>
  <c r="G81" i="45"/>
  <c r="P81" i="45" s="1"/>
  <c r="G82" i="45"/>
  <c r="P82" i="45" s="1"/>
  <c r="G75" i="45"/>
  <c r="P75" i="45" s="1"/>
  <c r="G78" i="45"/>
  <c r="P78" i="45" s="1"/>
  <c r="G77" i="45"/>
  <c r="P77" i="45" s="1"/>
  <c r="G76" i="45"/>
  <c r="P76" i="45" s="1"/>
  <c r="G74" i="45"/>
  <c r="P74" i="45" s="1"/>
  <c r="F75" i="45"/>
  <c r="F74" i="45"/>
  <c r="F27" i="45"/>
  <c r="F29" i="45"/>
  <c r="F28" i="45"/>
  <c r="F26" i="45"/>
  <c r="P62" i="46" l="1"/>
  <c r="H40" i="46"/>
  <c r="F103" i="46"/>
  <c r="H33" i="46"/>
  <c r="H83" i="46"/>
  <c r="H103" i="46" s="1"/>
  <c r="H59" i="46"/>
  <c r="G62" i="46"/>
  <c r="H34" i="46"/>
  <c r="G103" i="46"/>
  <c r="H35" i="46"/>
  <c r="H38" i="46"/>
  <c r="H72" i="46"/>
  <c r="H29" i="45"/>
  <c r="F23" i="45"/>
  <c r="F22" i="45"/>
  <c r="F21" i="45"/>
  <c r="F19" i="45"/>
  <c r="H19" i="45" s="1"/>
  <c r="F18" i="45"/>
  <c r="F17" i="45"/>
  <c r="H17" i="45" s="1"/>
  <c r="F16" i="45"/>
  <c r="H16" i="45" s="1"/>
  <c r="F15" i="45"/>
  <c r="H15" i="45" s="1"/>
  <c r="F14" i="45"/>
  <c r="H14" i="45" s="1"/>
  <c r="F13" i="45"/>
  <c r="H13" i="45" s="1"/>
  <c r="F12" i="45"/>
  <c r="H12" i="45" s="1"/>
  <c r="F11" i="45"/>
  <c r="H11" i="45" s="1"/>
  <c r="F10" i="45"/>
  <c r="G10" i="45"/>
  <c r="P10" i="45"/>
  <c r="P19" i="45"/>
  <c r="P18" i="45"/>
  <c r="P16" i="45"/>
  <c r="P15" i="45"/>
  <c r="P14" i="45"/>
  <c r="P13" i="45"/>
  <c r="P12" i="45"/>
  <c r="P11" i="45"/>
  <c r="M104" i="45"/>
  <c r="H104" i="45"/>
  <c r="M102" i="45"/>
  <c r="G102" i="45"/>
  <c r="P101" i="45"/>
  <c r="M101" i="45"/>
  <c r="F101" i="45"/>
  <c r="H101" i="45" s="1"/>
  <c r="G100" i="45"/>
  <c r="P100" i="45" s="1"/>
  <c r="F100" i="45"/>
  <c r="P99" i="45"/>
  <c r="M99" i="45"/>
  <c r="F99" i="45"/>
  <c r="H99" i="45" s="1"/>
  <c r="P98" i="45"/>
  <c r="F98" i="45"/>
  <c r="H98" i="45" s="1"/>
  <c r="P97" i="45"/>
  <c r="M97" i="45"/>
  <c r="H97" i="45"/>
  <c r="P96" i="45"/>
  <c r="F96" i="45"/>
  <c r="H96" i="45" s="1"/>
  <c r="M95" i="45"/>
  <c r="P95" i="45"/>
  <c r="F95" i="45"/>
  <c r="M94" i="45"/>
  <c r="F94" i="45"/>
  <c r="H94" i="45" s="1"/>
  <c r="M93" i="45"/>
  <c r="L91" i="45"/>
  <c r="L103" i="45" s="1"/>
  <c r="K91" i="45"/>
  <c r="K103" i="45" s="1"/>
  <c r="J91" i="45"/>
  <c r="J103" i="45" s="1"/>
  <c r="I91" i="45"/>
  <c r="I103" i="45" s="1"/>
  <c r="D91" i="45"/>
  <c r="D103" i="45" s="1"/>
  <c r="M90" i="45"/>
  <c r="G90" i="45"/>
  <c r="P90" i="45" s="1"/>
  <c r="F90" i="45"/>
  <c r="M89" i="45"/>
  <c r="G89" i="45"/>
  <c r="P88" i="45"/>
  <c r="M88" i="45"/>
  <c r="H88" i="45"/>
  <c r="P87" i="45"/>
  <c r="M87" i="45"/>
  <c r="H87" i="45"/>
  <c r="M86" i="45"/>
  <c r="P86" i="45"/>
  <c r="P85" i="45"/>
  <c r="M85" i="45"/>
  <c r="H85" i="45"/>
  <c r="L83" i="45"/>
  <c r="K83" i="45"/>
  <c r="J83" i="45"/>
  <c r="I83" i="45"/>
  <c r="D83" i="45"/>
  <c r="M82" i="45"/>
  <c r="F82" i="45"/>
  <c r="H82" i="45" s="1"/>
  <c r="M81" i="45"/>
  <c r="F81" i="45"/>
  <c r="H81" i="45" s="1"/>
  <c r="M80" i="45"/>
  <c r="F80" i="45"/>
  <c r="H80" i="45" s="1"/>
  <c r="M79" i="45"/>
  <c r="F79" i="45"/>
  <c r="M78" i="45"/>
  <c r="F78" i="45"/>
  <c r="M77" i="45"/>
  <c r="F77" i="45"/>
  <c r="H77" i="45" s="1"/>
  <c r="M76" i="45"/>
  <c r="F76" i="45"/>
  <c r="M75" i="45"/>
  <c r="M74" i="45"/>
  <c r="L72" i="45"/>
  <c r="K72" i="45"/>
  <c r="J72" i="45"/>
  <c r="I72" i="45"/>
  <c r="D72" i="45"/>
  <c r="M71" i="45"/>
  <c r="G71" i="45"/>
  <c r="P71" i="45" s="1"/>
  <c r="F71" i="45"/>
  <c r="M70" i="45"/>
  <c r="G70" i="45"/>
  <c r="P70" i="45" s="1"/>
  <c r="F70" i="45"/>
  <c r="H70" i="45" s="1"/>
  <c r="M69" i="45"/>
  <c r="G69" i="45"/>
  <c r="P69" i="45" s="1"/>
  <c r="F69" i="45"/>
  <c r="M68" i="45"/>
  <c r="G68" i="45"/>
  <c r="H68" i="45" s="1"/>
  <c r="M67" i="45"/>
  <c r="G67" i="45"/>
  <c r="P67" i="45" s="1"/>
  <c r="F67" i="45"/>
  <c r="M66" i="45"/>
  <c r="G66" i="45"/>
  <c r="P66" i="45" s="1"/>
  <c r="F66" i="45"/>
  <c r="M65" i="45"/>
  <c r="G65" i="45"/>
  <c r="P65" i="45" s="1"/>
  <c r="F65" i="45"/>
  <c r="H65" i="45" s="1"/>
  <c r="M64" i="45"/>
  <c r="G64" i="45"/>
  <c r="P64" i="45" s="1"/>
  <c r="L62" i="45"/>
  <c r="K62" i="45"/>
  <c r="J62" i="45"/>
  <c r="I62" i="45"/>
  <c r="M61" i="45"/>
  <c r="G61" i="45"/>
  <c r="P61" i="45" s="1"/>
  <c r="F61" i="45"/>
  <c r="M60" i="45"/>
  <c r="G60" i="45"/>
  <c r="P60" i="45" s="1"/>
  <c r="M59" i="45"/>
  <c r="D59" i="45"/>
  <c r="F59" i="45" s="1"/>
  <c r="M58" i="45"/>
  <c r="D58" i="45"/>
  <c r="G58" i="45" s="1"/>
  <c r="P58" i="45" s="1"/>
  <c r="M57" i="45"/>
  <c r="D57" i="45"/>
  <c r="M56" i="45"/>
  <c r="D56" i="45"/>
  <c r="G56" i="45" s="1"/>
  <c r="P56" i="45" s="1"/>
  <c r="M55" i="45"/>
  <c r="D55" i="45"/>
  <c r="G55" i="45" s="1"/>
  <c r="P55" i="45" s="1"/>
  <c r="M54" i="45"/>
  <c r="D54" i="45"/>
  <c r="G54" i="45" s="1"/>
  <c r="H54" i="45" s="1"/>
  <c r="M53" i="45"/>
  <c r="D53" i="45"/>
  <c r="G53" i="45" s="1"/>
  <c r="P53" i="45" s="1"/>
  <c r="M52" i="45"/>
  <c r="D52" i="45"/>
  <c r="G52" i="45" s="1"/>
  <c r="P52" i="45" s="1"/>
  <c r="M51" i="45"/>
  <c r="D51" i="45"/>
  <c r="G51" i="45" s="1"/>
  <c r="P51" i="45" s="1"/>
  <c r="M50" i="45"/>
  <c r="D50" i="45"/>
  <c r="G50" i="45" s="1"/>
  <c r="H50" i="45" s="1"/>
  <c r="M49" i="45"/>
  <c r="D49" i="45"/>
  <c r="G49" i="45" s="1"/>
  <c r="P49" i="45" s="1"/>
  <c r="M48" i="45"/>
  <c r="D48" i="45"/>
  <c r="G48" i="45" s="1"/>
  <c r="P48" i="45" s="1"/>
  <c r="M47" i="45"/>
  <c r="D47" i="45"/>
  <c r="G47" i="45" s="1"/>
  <c r="P47" i="45" s="1"/>
  <c r="M46" i="45"/>
  <c r="D46" i="45"/>
  <c r="G46" i="45" s="1"/>
  <c r="H46" i="45" s="1"/>
  <c r="M45" i="45"/>
  <c r="D45" i="45"/>
  <c r="G45" i="45" s="1"/>
  <c r="P45" i="45" s="1"/>
  <c r="M44" i="45"/>
  <c r="D44" i="45"/>
  <c r="G44" i="45" s="1"/>
  <c r="P44" i="45" s="1"/>
  <c r="M43" i="45"/>
  <c r="D43" i="45"/>
  <c r="G43" i="45" s="1"/>
  <c r="P43" i="45" s="1"/>
  <c r="M42" i="45"/>
  <c r="M41" i="45"/>
  <c r="D41" i="45"/>
  <c r="G41" i="45" s="1"/>
  <c r="H41" i="45" s="1"/>
  <c r="M40" i="45"/>
  <c r="D40" i="45"/>
  <c r="G42" i="45" s="1"/>
  <c r="H42" i="45" s="1"/>
  <c r="M39" i="45"/>
  <c r="D39" i="45"/>
  <c r="G39" i="45" s="1"/>
  <c r="H39" i="45" s="1"/>
  <c r="M38" i="45"/>
  <c r="M37" i="45"/>
  <c r="D37" i="45"/>
  <c r="G38" i="45" s="1"/>
  <c r="P38" i="45" s="1"/>
  <c r="M36" i="45"/>
  <c r="F36" i="45"/>
  <c r="M35" i="45"/>
  <c r="D35" i="45"/>
  <c r="G35" i="45" s="1"/>
  <c r="P35" i="45" s="1"/>
  <c r="M34" i="45"/>
  <c r="D34" i="45"/>
  <c r="F34" i="45" s="1"/>
  <c r="M33" i="45"/>
  <c r="F33" i="45"/>
  <c r="M32" i="45"/>
  <c r="D32" i="45"/>
  <c r="G32" i="45" s="1"/>
  <c r="P32" i="45" s="1"/>
  <c r="L30" i="45"/>
  <c r="K30" i="45"/>
  <c r="J30" i="45"/>
  <c r="I30" i="45"/>
  <c r="D30" i="45"/>
  <c r="M29" i="45"/>
  <c r="P29" i="45"/>
  <c r="M28" i="45"/>
  <c r="G28" i="45"/>
  <c r="H28" i="45" s="1"/>
  <c r="M27" i="45"/>
  <c r="M26" i="45"/>
  <c r="P26" i="45"/>
  <c r="L24" i="45"/>
  <c r="K24" i="45"/>
  <c r="J24" i="45"/>
  <c r="I24" i="45"/>
  <c r="D24" i="45"/>
  <c r="M23" i="45"/>
  <c r="G23" i="45"/>
  <c r="P23" i="45" s="1"/>
  <c r="M22" i="45"/>
  <c r="G22" i="45"/>
  <c r="M21" i="45"/>
  <c r="G21" i="45"/>
  <c r="P21" i="45" s="1"/>
  <c r="M20" i="45"/>
  <c r="G20" i="45"/>
  <c r="P20" i="45" s="1"/>
  <c r="F20" i="45"/>
  <c r="M19" i="45"/>
  <c r="M18" i="45"/>
  <c r="H18" i="45"/>
  <c r="M17" i="45"/>
  <c r="G17" i="45"/>
  <c r="P17" i="45" s="1"/>
  <c r="M16" i="45"/>
  <c r="M15" i="45"/>
  <c r="M14" i="45"/>
  <c r="M13" i="45"/>
  <c r="M12" i="45"/>
  <c r="M11" i="45"/>
  <c r="M10" i="45"/>
  <c r="H62" i="46" l="1"/>
  <c r="P28" i="45"/>
  <c r="H20" i="45"/>
  <c r="H100" i="45"/>
  <c r="P39" i="45"/>
  <c r="G37" i="45"/>
  <c r="P37" i="45" s="1"/>
  <c r="H69" i="45"/>
  <c r="H90" i="45"/>
  <c r="P94" i="45"/>
  <c r="P42" i="45"/>
  <c r="P46" i="45"/>
  <c r="P50" i="45"/>
  <c r="P54" i="45"/>
  <c r="F38" i="45"/>
  <c r="H38" i="45" s="1"/>
  <c r="H93" i="45"/>
  <c r="F30" i="45"/>
  <c r="F37" i="45"/>
  <c r="P68" i="45"/>
  <c r="P72" i="45" s="1"/>
  <c r="P41" i="45"/>
  <c r="H55" i="45"/>
  <c r="G57" i="45"/>
  <c r="P57" i="45" s="1"/>
  <c r="F57" i="45"/>
  <c r="F62" i="45" s="1"/>
  <c r="P102" i="45"/>
  <c r="H102" i="45"/>
  <c r="F24" i="45"/>
  <c r="H10" i="45"/>
  <c r="H24" i="45" s="1"/>
  <c r="H27" i="45"/>
  <c r="P27" i="45"/>
  <c r="H67" i="45"/>
  <c r="M24" i="45"/>
  <c r="H22" i="45"/>
  <c r="P22" i="45"/>
  <c r="P24" i="45" s="1"/>
  <c r="H47" i="45"/>
  <c r="H51" i="45"/>
  <c r="H58" i="45"/>
  <c r="M30" i="45"/>
  <c r="M83" i="45"/>
  <c r="F32" i="45"/>
  <c r="H32" i="45" s="1"/>
  <c r="G33" i="45"/>
  <c r="P33" i="45" s="1"/>
  <c r="G72" i="45"/>
  <c r="G40" i="45"/>
  <c r="P40" i="45" s="1"/>
  <c r="G59" i="45"/>
  <c r="P59" i="45" s="1"/>
  <c r="H61" i="45"/>
  <c r="H64" i="45"/>
  <c r="H71" i="45"/>
  <c r="H75" i="45"/>
  <c r="H76" i="45"/>
  <c r="H78" i="45"/>
  <c r="H89" i="45"/>
  <c r="H95" i="45"/>
  <c r="H21" i="45"/>
  <c r="F72" i="45"/>
  <c r="H66" i="45"/>
  <c r="P83" i="45"/>
  <c r="G83" i="45"/>
  <c r="H26" i="45"/>
  <c r="G30" i="45"/>
  <c r="G34" i="45"/>
  <c r="P34" i="45" s="1"/>
  <c r="H44" i="45"/>
  <c r="H45" i="45"/>
  <c r="H49" i="45"/>
  <c r="H53" i="45"/>
  <c r="H79" i="45"/>
  <c r="M91" i="45"/>
  <c r="M103" i="45" s="1"/>
  <c r="H43" i="45"/>
  <c r="H48" i="45"/>
  <c r="H52" i="45"/>
  <c r="H56" i="45"/>
  <c r="H60" i="45"/>
  <c r="H23" i="45"/>
  <c r="G24" i="45"/>
  <c r="D62" i="45"/>
  <c r="M62" i="45"/>
  <c r="G36" i="45"/>
  <c r="P36" i="45" s="1"/>
  <c r="F35" i="45"/>
  <c r="H35" i="45" s="1"/>
  <c r="M72" i="45"/>
  <c r="F83" i="45"/>
  <c r="G91" i="45"/>
  <c r="H86" i="45"/>
  <c r="F91" i="45"/>
  <c r="H74" i="45"/>
  <c r="P89" i="45"/>
  <c r="P91" i="45" s="1"/>
  <c r="P93" i="45"/>
  <c r="G72" i="44"/>
  <c r="G71" i="44"/>
  <c r="G70" i="44"/>
  <c r="G69" i="44"/>
  <c r="G67" i="44"/>
  <c r="G66" i="44"/>
  <c r="G65" i="44"/>
  <c r="G88" i="44"/>
  <c r="G87" i="44"/>
  <c r="P87" i="44" s="1"/>
  <c r="F87" i="44"/>
  <c r="M87" i="44"/>
  <c r="M43" i="44"/>
  <c r="M37" i="44"/>
  <c r="F37" i="44"/>
  <c r="G112" i="44"/>
  <c r="G108" i="44"/>
  <c r="H40" i="45" l="1"/>
  <c r="H91" i="45"/>
  <c r="H37" i="45"/>
  <c r="G103" i="45"/>
  <c r="H59" i="45"/>
  <c r="F103" i="45"/>
  <c r="H72" i="45"/>
  <c r="P62" i="45"/>
  <c r="H83" i="45"/>
  <c r="H103" i="45" s="1"/>
  <c r="H57" i="45"/>
  <c r="H33" i="45"/>
  <c r="H34" i="45"/>
  <c r="G62" i="45"/>
  <c r="H30" i="45"/>
  <c r="P103" i="45"/>
  <c r="H36" i="45"/>
  <c r="H87" i="44"/>
  <c r="G23" i="44"/>
  <c r="P23" i="44" s="1"/>
  <c r="G22" i="44"/>
  <c r="G21" i="44"/>
  <c r="P21" i="44" s="1"/>
  <c r="G20" i="44"/>
  <c r="P20" i="44" s="1"/>
  <c r="D121" i="44"/>
  <c r="M120" i="44"/>
  <c r="H120" i="44"/>
  <c r="M119" i="44"/>
  <c r="G119" i="44"/>
  <c r="P119" i="44" s="1"/>
  <c r="M118" i="44"/>
  <c r="G118" i="44"/>
  <c r="P118" i="44" s="1"/>
  <c r="F118" i="44"/>
  <c r="M117" i="44"/>
  <c r="G117" i="44"/>
  <c r="H117" i="44" s="1"/>
  <c r="P116" i="44"/>
  <c r="M116" i="44"/>
  <c r="F116" i="44"/>
  <c r="H116" i="44" s="1"/>
  <c r="M115" i="44"/>
  <c r="G115" i="44"/>
  <c r="H115" i="44" s="1"/>
  <c r="M114" i="44"/>
  <c r="G114" i="44"/>
  <c r="P114" i="44" s="1"/>
  <c r="F114" i="44"/>
  <c r="H114" i="44" s="1"/>
  <c r="G113" i="44"/>
  <c r="P113" i="44" s="1"/>
  <c r="F113" i="44"/>
  <c r="H113" i="44" s="1"/>
  <c r="P112" i="44"/>
  <c r="M112" i="44"/>
  <c r="F112" i="44"/>
  <c r="H112" i="44" s="1"/>
  <c r="P111" i="44"/>
  <c r="F111" i="44"/>
  <c r="H111" i="44" s="1"/>
  <c r="P110" i="44"/>
  <c r="M110" i="44"/>
  <c r="H110" i="44"/>
  <c r="P109" i="44"/>
  <c r="F109" i="44"/>
  <c r="H109" i="44" s="1"/>
  <c r="M108" i="44"/>
  <c r="P108" i="44"/>
  <c r="F108" i="44"/>
  <c r="P107" i="44"/>
  <c r="M107" i="44"/>
  <c r="F107" i="44"/>
  <c r="H107" i="44" s="1"/>
  <c r="P106" i="44"/>
  <c r="M106" i="44"/>
  <c r="F106" i="44"/>
  <c r="H106" i="44" s="1"/>
  <c r="M103" i="44"/>
  <c r="G103" i="44"/>
  <c r="H103" i="44" s="1"/>
  <c r="P102" i="44"/>
  <c r="M102" i="44"/>
  <c r="F102" i="44"/>
  <c r="H102" i="44" s="1"/>
  <c r="G101" i="44"/>
  <c r="P101" i="44" s="1"/>
  <c r="F101" i="44"/>
  <c r="P100" i="44"/>
  <c r="M100" i="44"/>
  <c r="F100" i="44"/>
  <c r="H100" i="44" s="1"/>
  <c r="P99" i="44"/>
  <c r="F99" i="44"/>
  <c r="H99" i="44" s="1"/>
  <c r="P98" i="44"/>
  <c r="M98" i="44"/>
  <c r="H98" i="44"/>
  <c r="P97" i="44"/>
  <c r="F97" i="44"/>
  <c r="H97" i="44" s="1"/>
  <c r="M96" i="44"/>
  <c r="G96" i="44"/>
  <c r="P96" i="44" s="1"/>
  <c r="F96" i="44"/>
  <c r="H96" i="44" s="1"/>
  <c r="M95" i="44"/>
  <c r="G95" i="44"/>
  <c r="P95" i="44" s="1"/>
  <c r="F95" i="44"/>
  <c r="M94" i="44"/>
  <c r="G94" i="44"/>
  <c r="P94" i="44" s="1"/>
  <c r="F94" i="44"/>
  <c r="L92" i="44"/>
  <c r="L104" i="44" s="1"/>
  <c r="L121" i="44" s="1"/>
  <c r="K92" i="44"/>
  <c r="K104" i="44" s="1"/>
  <c r="K121" i="44" s="1"/>
  <c r="J92" i="44"/>
  <c r="J104" i="44" s="1"/>
  <c r="J121" i="44" s="1"/>
  <c r="I92" i="44"/>
  <c r="I104" i="44" s="1"/>
  <c r="I121" i="44" s="1"/>
  <c r="D92" i="44"/>
  <c r="D104" i="44" s="1"/>
  <c r="P91" i="44"/>
  <c r="M91" i="44"/>
  <c r="G91" i="44"/>
  <c r="F91" i="44"/>
  <c r="M90" i="44"/>
  <c r="G90" i="44"/>
  <c r="P90" i="44" s="1"/>
  <c r="F90" i="44"/>
  <c r="P89" i="44"/>
  <c r="M89" i="44"/>
  <c r="F89" i="44"/>
  <c r="H89" i="44" s="1"/>
  <c r="P88" i="44"/>
  <c r="M88" i="44"/>
  <c r="F88" i="44"/>
  <c r="H88" i="44" s="1"/>
  <c r="M86" i="44"/>
  <c r="G86" i="44"/>
  <c r="P86" i="44" s="1"/>
  <c r="F86" i="44"/>
  <c r="H86" i="44" s="1"/>
  <c r="L84" i="44"/>
  <c r="K84" i="44"/>
  <c r="J84" i="44"/>
  <c r="I84" i="44"/>
  <c r="D84" i="44"/>
  <c r="M83" i="44"/>
  <c r="G83" i="44"/>
  <c r="P83" i="44" s="1"/>
  <c r="F83" i="44"/>
  <c r="P82" i="44"/>
  <c r="M82" i="44"/>
  <c r="G82" i="44"/>
  <c r="F82" i="44"/>
  <c r="M81" i="44"/>
  <c r="G81" i="44"/>
  <c r="P81" i="44" s="1"/>
  <c r="F81" i="44"/>
  <c r="H81" i="44" s="1"/>
  <c r="M80" i="44"/>
  <c r="G80" i="44"/>
  <c r="P80" i="44" s="1"/>
  <c r="F80" i="44"/>
  <c r="M79" i="44"/>
  <c r="G79" i="44"/>
  <c r="P79" i="44" s="1"/>
  <c r="F79" i="44"/>
  <c r="M78" i="44"/>
  <c r="G78" i="44"/>
  <c r="P78" i="44" s="1"/>
  <c r="F78" i="44"/>
  <c r="H78" i="44" s="1"/>
  <c r="M77" i="44"/>
  <c r="G77" i="44"/>
  <c r="P77" i="44" s="1"/>
  <c r="F77" i="44"/>
  <c r="H77" i="44" s="1"/>
  <c r="M76" i="44"/>
  <c r="G76" i="44"/>
  <c r="P76" i="44" s="1"/>
  <c r="F76" i="44"/>
  <c r="H76" i="44" s="1"/>
  <c r="M75" i="44"/>
  <c r="G75" i="44"/>
  <c r="P75" i="44" s="1"/>
  <c r="F75" i="44"/>
  <c r="L73" i="44"/>
  <c r="K73" i="44"/>
  <c r="J73" i="44"/>
  <c r="I73" i="44"/>
  <c r="D73" i="44"/>
  <c r="M72" i="44"/>
  <c r="P72" i="44"/>
  <c r="F72" i="44"/>
  <c r="M71" i="44"/>
  <c r="P71" i="44"/>
  <c r="F71" i="44"/>
  <c r="P70" i="44"/>
  <c r="M70" i="44"/>
  <c r="F70" i="44"/>
  <c r="H70" i="44" s="1"/>
  <c r="P69" i="44"/>
  <c r="M69" i="44"/>
  <c r="H69" i="44"/>
  <c r="M68" i="44"/>
  <c r="G68" i="44"/>
  <c r="P68" i="44" s="1"/>
  <c r="F68" i="44"/>
  <c r="M67" i="44"/>
  <c r="P67" i="44"/>
  <c r="F67" i="44"/>
  <c r="M66" i="44"/>
  <c r="P66" i="44"/>
  <c r="F66" i="44"/>
  <c r="M65" i="44"/>
  <c r="P65" i="44"/>
  <c r="L63" i="44"/>
  <c r="K63" i="44"/>
  <c r="J63" i="44"/>
  <c r="I63" i="44"/>
  <c r="M62" i="44"/>
  <c r="G62" i="44"/>
  <c r="P62" i="44" s="1"/>
  <c r="F62" i="44"/>
  <c r="H62" i="44" s="1"/>
  <c r="M61" i="44"/>
  <c r="G61" i="44"/>
  <c r="P61" i="44" s="1"/>
  <c r="M60" i="44"/>
  <c r="D60" i="44"/>
  <c r="F60" i="44" s="1"/>
  <c r="M59" i="44"/>
  <c r="D59" i="44"/>
  <c r="G59" i="44" s="1"/>
  <c r="H59" i="44" s="1"/>
  <c r="M58" i="44"/>
  <c r="D58" i="44"/>
  <c r="G58" i="44" s="1"/>
  <c r="P58" i="44" s="1"/>
  <c r="M57" i="44"/>
  <c r="D57" i="44"/>
  <c r="G57" i="44" s="1"/>
  <c r="H57" i="44" s="1"/>
  <c r="M56" i="44"/>
  <c r="D56" i="44"/>
  <c r="G56" i="44" s="1"/>
  <c r="M55" i="44"/>
  <c r="D55" i="44"/>
  <c r="G55" i="44" s="1"/>
  <c r="M54" i="44"/>
  <c r="D54" i="44"/>
  <c r="G54" i="44" s="1"/>
  <c r="P54" i="44" s="1"/>
  <c r="M53" i="44"/>
  <c r="D53" i="44"/>
  <c r="G53" i="44" s="1"/>
  <c r="H53" i="44" s="1"/>
  <c r="M52" i="44"/>
  <c r="D52" i="44"/>
  <c r="G52" i="44" s="1"/>
  <c r="M51" i="44"/>
  <c r="D51" i="44"/>
  <c r="G51" i="44" s="1"/>
  <c r="M50" i="44"/>
  <c r="G50" i="44"/>
  <c r="P50" i="44" s="1"/>
  <c r="D50" i="44"/>
  <c r="M49" i="44"/>
  <c r="D49" i="44"/>
  <c r="G49" i="44" s="1"/>
  <c r="P49" i="44" s="1"/>
  <c r="M48" i="44"/>
  <c r="D48" i="44"/>
  <c r="G48" i="44" s="1"/>
  <c r="M47" i="44"/>
  <c r="D47" i="44"/>
  <c r="G47" i="44" s="1"/>
  <c r="P47" i="44" s="1"/>
  <c r="M46" i="44"/>
  <c r="D46" i="44"/>
  <c r="G46" i="44" s="1"/>
  <c r="P46" i="44" s="1"/>
  <c r="M45" i="44"/>
  <c r="D45" i="44"/>
  <c r="G45" i="44" s="1"/>
  <c r="H45" i="44" s="1"/>
  <c r="M44" i="44"/>
  <c r="D44" i="44"/>
  <c r="G44" i="44" s="1"/>
  <c r="H44" i="44" s="1"/>
  <c r="M42" i="44"/>
  <c r="D42" i="44"/>
  <c r="G42" i="44" s="1"/>
  <c r="M41" i="44"/>
  <c r="D41" i="44"/>
  <c r="M40" i="44"/>
  <c r="D40" i="44"/>
  <c r="G40" i="44" s="1"/>
  <c r="H40" i="44" s="1"/>
  <c r="M39" i="44"/>
  <c r="M38" i="44"/>
  <c r="D38" i="44"/>
  <c r="F39" i="44" s="1"/>
  <c r="M36" i="44"/>
  <c r="D36" i="44"/>
  <c r="M35" i="44"/>
  <c r="D35" i="44"/>
  <c r="F35" i="44" s="1"/>
  <c r="M34" i="44"/>
  <c r="F34" i="44"/>
  <c r="M33" i="44"/>
  <c r="D33" i="44"/>
  <c r="L31" i="44"/>
  <c r="K31" i="44"/>
  <c r="J31" i="44"/>
  <c r="I31" i="44"/>
  <c r="F31" i="44"/>
  <c r="D31" i="44"/>
  <c r="M30" i="44"/>
  <c r="G30" i="44"/>
  <c r="P30" i="44" s="1"/>
  <c r="M29" i="44"/>
  <c r="G29" i="44"/>
  <c r="P29" i="44" s="1"/>
  <c r="M28" i="44"/>
  <c r="G28" i="44"/>
  <c r="P28" i="44" s="1"/>
  <c r="M27" i="44"/>
  <c r="G27" i="44"/>
  <c r="P27" i="44" s="1"/>
  <c r="M26" i="44"/>
  <c r="G26" i="44"/>
  <c r="H26" i="44" s="1"/>
  <c r="L24" i="44"/>
  <c r="K24" i="44"/>
  <c r="J24" i="44"/>
  <c r="I24" i="44"/>
  <c r="D24" i="44"/>
  <c r="M23" i="44"/>
  <c r="F23" i="44"/>
  <c r="P22" i="44"/>
  <c r="M22" i="44"/>
  <c r="F22" i="44"/>
  <c r="M21" i="44"/>
  <c r="F21" i="44"/>
  <c r="M20" i="44"/>
  <c r="F20" i="44"/>
  <c r="M19" i="44"/>
  <c r="P19" i="44"/>
  <c r="F19" i="44"/>
  <c r="P18" i="44"/>
  <c r="M18" i="44"/>
  <c r="F18" i="44"/>
  <c r="H18" i="44" s="1"/>
  <c r="M17" i="44"/>
  <c r="G17" i="44"/>
  <c r="G24" i="44" s="1"/>
  <c r="F17" i="44"/>
  <c r="P16" i="44"/>
  <c r="M16" i="44"/>
  <c r="F16" i="44"/>
  <c r="H16" i="44" s="1"/>
  <c r="P15" i="44"/>
  <c r="M15" i="44"/>
  <c r="F15" i="44"/>
  <c r="H15" i="44" s="1"/>
  <c r="P14" i="44"/>
  <c r="M14" i="44"/>
  <c r="F14" i="44"/>
  <c r="H14" i="44" s="1"/>
  <c r="P13" i="44"/>
  <c r="M13" i="44"/>
  <c r="F13" i="44"/>
  <c r="H13" i="44" s="1"/>
  <c r="P12" i="44"/>
  <c r="M12" i="44"/>
  <c r="F12" i="44"/>
  <c r="H12" i="44" s="1"/>
  <c r="P11" i="44"/>
  <c r="M11" i="44"/>
  <c r="F11" i="44"/>
  <c r="H11" i="44" s="1"/>
  <c r="P10" i="44"/>
  <c r="M10" i="44"/>
  <c r="F10" i="44"/>
  <c r="H10" i="44" s="1"/>
  <c r="F38" i="44" l="1"/>
  <c r="P17" i="44"/>
  <c r="P103" i="44"/>
  <c r="G38" i="44"/>
  <c r="P38" i="44" s="1"/>
  <c r="F58" i="44"/>
  <c r="P117" i="44"/>
  <c r="P53" i="44"/>
  <c r="H62" i="45"/>
  <c r="G41" i="44"/>
  <c r="G43" i="44"/>
  <c r="P45" i="44"/>
  <c r="P115" i="44"/>
  <c r="P59" i="44"/>
  <c r="H68" i="44"/>
  <c r="H17" i="44"/>
  <c r="H75" i="44"/>
  <c r="H82" i="44"/>
  <c r="H91" i="44"/>
  <c r="H95" i="44"/>
  <c r="H118" i="44"/>
  <c r="P41" i="44"/>
  <c r="H41" i="44"/>
  <c r="F36" i="44"/>
  <c r="G37" i="44"/>
  <c r="G33" i="44"/>
  <c r="G34" i="44"/>
  <c r="G36" i="44"/>
  <c r="P36" i="44" s="1"/>
  <c r="H65" i="44"/>
  <c r="F84" i="44"/>
  <c r="H22" i="44"/>
  <c r="P26" i="44"/>
  <c r="M63" i="44"/>
  <c r="G35" i="44"/>
  <c r="P35" i="44" s="1"/>
  <c r="P57" i="44"/>
  <c r="M73" i="44"/>
  <c r="P92" i="44"/>
  <c r="G121" i="44"/>
  <c r="H21" i="44"/>
  <c r="P40" i="44"/>
  <c r="G60" i="44"/>
  <c r="M84" i="44"/>
  <c r="G92" i="44"/>
  <c r="M31" i="44"/>
  <c r="M24" i="44"/>
  <c r="H24" i="44"/>
  <c r="H51" i="44"/>
  <c r="P51" i="44"/>
  <c r="H56" i="44"/>
  <c r="P56" i="44"/>
  <c r="P24" i="44"/>
  <c r="H48" i="44"/>
  <c r="P48" i="44"/>
  <c r="P42" i="44"/>
  <c r="H42" i="44"/>
  <c r="H52" i="44"/>
  <c r="P52" i="44"/>
  <c r="H55" i="44"/>
  <c r="P55" i="44"/>
  <c r="D63" i="44"/>
  <c r="H19" i="44"/>
  <c r="H20" i="44"/>
  <c r="H28" i="44"/>
  <c r="P33" i="44"/>
  <c r="H46" i="44"/>
  <c r="H47" i="44"/>
  <c r="H49" i="44"/>
  <c r="H66" i="44"/>
  <c r="H71" i="44"/>
  <c r="H79" i="44"/>
  <c r="F24" i="44"/>
  <c r="F33" i="44"/>
  <c r="H33" i="44" s="1"/>
  <c r="P44" i="44"/>
  <c r="H50" i="44"/>
  <c r="P73" i="44"/>
  <c r="H83" i="44"/>
  <c r="H94" i="44"/>
  <c r="H101" i="44"/>
  <c r="H23" i="44"/>
  <c r="H30" i="44"/>
  <c r="G31" i="44"/>
  <c r="G39" i="44"/>
  <c r="P39" i="44" s="1"/>
  <c r="H54" i="44"/>
  <c r="F63" i="44"/>
  <c r="H58" i="44"/>
  <c r="H61" i="44"/>
  <c r="G73" i="44"/>
  <c r="F73" i="44"/>
  <c r="H67" i="44"/>
  <c r="H72" i="44"/>
  <c r="P84" i="44"/>
  <c r="G84" i="44"/>
  <c r="H80" i="44"/>
  <c r="H90" i="44"/>
  <c r="M92" i="44"/>
  <c r="M104" i="44" s="1"/>
  <c r="M121" i="44" s="1"/>
  <c r="P104" i="44"/>
  <c r="H108" i="44"/>
  <c r="H119" i="44"/>
  <c r="F92" i="44"/>
  <c r="P115" i="43"/>
  <c r="P110" i="43"/>
  <c r="P109" i="43"/>
  <c r="P108" i="43"/>
  <c r="G117" i="43"/>
  <c r="P117" i="43" s="1"/>
  <c r="M118" i="43"/>
  <c r="G118" i="43"/>
  <c r="H118" i="43" s="1"/>
  <c r="M117" i="43"/>
  <c r="F117" i="43"/>
  <c r="G113" i="43"/>
  <c r="P113" i="43" s="1"/>
  <c r="P121" i="44" l="1"/>
  <c r="P118" i="43"/>
  <c r="H38" i="44"/>
  <c r="G104" i="44"/>
  <c r="H35" i="44"/>
  <c r="H36" i="44"/>
  <c r="P43" i="44"/>
  <c r="H43" i="44"/>
  <c r="H84" i="44"/>
  <c r="P37" i="44"/>
  <c r="H37" i="44"/>
  <c r="H31" i="44"/>
  <c r="H73" i="44"/>
  <c r="P60" i="44"/>
  <c r="H60" i="44"/>
  <c r="F104" i="44"/>
  <c r="F121" i="44" s="1"/>
  <c r="G63" i="44"/>
  <c r="P34" i="44"/>
  <c r="H34" i="44"/>
  <c r="H39" i="44"/>
  <c r="H92" i="44"/>
  <c r="H117" i="43"/>
  <c r="G111" i="43"/>
  <c r="P111" i="43" s="1"/>
  <c r="G107" i="43"/>
  <c r="P107" i="43" s="1"/>
  <c r="G106" i="43"/>
  <c r="P106" i="43" s="1"/>
  <c r="G105" i="43"/>
  <c r="P105" i="43" s="1"/>
  <c r="D120" i="43"/>
  <c r="M116" i="43"/>
  <c r="G116" i="43"/>
  <c r="M115" i="43"/>
  <c r="F115" i="43"/>
  <c r="H115" i="43" s="1"/>
  <c r="M114" i="43"/>
  <c r="G114" i="43"/>
  <c r="P114" i="43" s="1"/>
  <c r="M113" i="43"/>
  <c r="F113" i="43"/>
  <c r="H113" i="43" s="1"/>
  <c r="G112" i="43"/>
  <c r="P112" i="43" s="1"/>
  <c r="F112" i="43"/>
  <c r="M111" i="43"/>
  <c r="F111" i="43"/>
  <c r="F110" i="43"/>
  <c r="H110" i="43" s="1"/>
  <c r="M109" i="43"/>
  <c r="H109" i="43"/>
  <c r="F108" i="43"/>
  <c r="H108" i="43" s="1"/>
  <c r="M107" i="43"/>
  <c r="F107" i="43"/>
  <c r="M106" i="43"/>
  <c r="F106" i="43"/>
  <c r="M105" i="43"/>
  <c r="F105" i="43"/>
  <c r="G93" i="43"/>
  <c r="F100" i="43"/>
  <c r="G100" i="43"/>
  <c r="H116" i="43" l="1"/>
  <c r="P116" i="43"/>
  <c r="H107" i="43"/>
  <c r="H111" i="43"/>
  <c r="P63" i="44"/>
  <c r="H63" i="44"/>
  <c r="H104" i="44"/>
  <c r="H121" i="44" s="1"/>
  <c r="G120" i="43"/>
  <c r="H105" i="43"/>
  <c r="H106" i="43"/>
  <c r="H112" i="43"/>
  <c r="H114" i="43"/>
  <c r="F34" i="43"/>
  <c r="F61" i="43"/>
  <c r="G61" i="43"/>
  <c r="F62" i="43"/>
  <c r="G95" i="43"/>
  <c r="G94" i="43"/>
  <c r="P94" i="43" s="1"/>
  <c r="G90" i="43"/>
  <c r="P90" i="43" s="1"/>
  <c r="G89" i="43"/>
  <c r="P89" i="43" s="1"/>
  <c r="G86" i="43"/>
  <c r="G91" i="43" s="1"/>
  <c r="G83" i="43"/>
  <c r="G82" i="43"/>
  <c r="G81" i="43"/>
  <c r="P81" i="43" s="1"/>
  <c r="G80" i="43"/>
  <c r="G79" i="43"/>
  <c r="G78" i="43"/>
  <c r="P78" i="43" s="1"/>
  <c r="G77" i="43"/>
  <c r="P77" i="43" s="1"/>
  <c r="G76" i="43"/>
  <c r="G75" i="43"/>
  <c r="P75" i="43" s="1"/>
  <c r="G72" i="43"/>
  <c r="G71" i="43"/>
  <c r="P71" i="43" s="1"/>
  <c r="G70" i="43"/>
  <c r="P70" i="43" s="1"/>
  <c r="G69" i="43"/>
  <c r="G68" i="43"/>
  <c r="G67" i="43"/>
  <c r="G66" i="43"/>
  <c r="P66" i="43" s="1"/>
  <c r="G65" i="43"/>
  <c r="P65" i="43" s="1"/>
  <c r="H61" i="43"/>
  <c r="G60" i="43"/>
  <c r="H60" i="43" s="1"/>
  <c r="G55" i="43"/>
  <c r="P55" i="43" s="1"/>
  <c r="G52" i="43"/>
  <c r="H52" i="43" s="1"/>
  <c r="G49" i="43"/>
  <c r="P49" i="43" s="1"/>
  <c r="G47" i="43"/>
  <c r="P47" i="43" s="1"/>
  <c r="G30" i="43"/>
  <c r="P30" i="43" s="1"/>
  <c r="G29" i="43"/>
  <c r="P29" i="43" s="1"/>
  <c r="G28" i="43"/>
  <c r="G27" i="43"/>
  <c r="G26" i="43"/>
  <c r="P26" i="43" s="1"/>
  <c r="G23" i="43"/>
  <c r="P23" i="43" s="1"/>
  <c r="G22" i="43"/>
  <c r="P22" i="43" s="1"/>
  <c r="G21" i="43"/>
  <c r="P21" i="43" s="1"/>
  <c r="G20" i="43"/>
  <c r="P20" i="43" s="1"/>
  <c r="G19" i="43"/>
  <c r="P19" i="43" s="1"/>
  <c r="G18" i="43"/>
  <c r="G17" i="43"/>
  <c r="P17" i="43" s="1"/>
  <c r="M119" i="43"/>
  <c r="H119" i="43"/>
  <c r="M102" i="43"/>
  <c r="G102" i="43"/>
  <c r="P102" i="43" s="1"/>
  <c r="P101" i="43"/>
  <c r="M101" i="43"/>
  <c r="F101" i="43"/>
  <c r="H101" i="43" s="1"/>
  <c r="P99" i="43"/>
  <c r="M99" i="43"/>
  <c r="F99" i="43"/>
  <c r="H99" i="43" s="1"/>
  <c r="P98" i="43"/>
  <c r="F98" i="43"/>
  <c r="H98" i="43" s="1"/>
  <c r="P97" i="43"/>
  <c r="M97" i="43"/>
  <c r="H97" i="43"/>
  <c r="P96" i="43"/>
  <c r="F96" i="43"/>
  <c r="H96" i="43" s="1"/>
  <c r="P95" i="43"/>
  <c r="M95" i="43"/>
  <c r="F95" i="43"/>
  <c r="M94" i="43"/>
  <c r="F94" i="43"/>
  <c r="P93" i="43"/>
  <c r="M93" i="43"/>
  <c r="F93" i="43"/>
  <c r="H93" i="43" s="1"/>
  <c r="L91" i="43"/>
  <c r="L103" i="43" s="1"/>
  <c r="L120" i="43" s="1"/>
  <c r="K91" i="43"/>
  <c r="K103" i="43" s="1"/>
  <c r="K120" i="43" s="1"/>
  <c r="J91" i="43"/>
  <c r="J103" i="43" s="1"/>
  <c r="J120" i="43" s="1"/>
  <c r="I91" i="43"/>
  <c r="I103" i="43" s="1"/>
  <c r="I120" i="43" s="1"/>
  <c r="D91" i="43"/>
  <c r="D103" i="43" s="1"/>
  <c r="M90" i="43"/>
  <c r="F90" i="43"/>
  <c r="M89" i="43"/>
  <c r="F89" i="43"/>
  <c r="P88" i="43"/>
  <c r="M88" i="43"/>
  <c r="F88" i="43"/>
  <c r="H88" i="43" s="1"/>
  <c r="P87" i="43"/>
  <c r="M87" i="43"/>
  <c r="F87" i="43"/>
  <c r="H87" i="43" s="1"/>
  <c r="M86" i="43"/>
  <c r="F86" i="43"/>
  <c r="L84" i="43"/>
  <c r="K84" i="43"/>
  <c r="J84" i="43"/>
  <c r="I84" i="43"/>
  <c r="D84" i="43"/>
  <c r="P83" i="43"/>
  <c r="M83" i="43"/>
  <c r="F83" i="43"/>
  <c r="H83" i="43" s="1"/>
  <c r="P82" i="43"/>
  <c r="M82" i="43"/>
  <c r="F82" i="43"/>
  <c r="M81" i="43"/>
  <c r="F81" i="43"/>
  <c r="M80" i="43"/>
  <c r="F80" i="43"/>
  <c r="P79" i="43"/>
  <c r="M79" i="43"/>
  <c r="F79" i="43"/>
  <c r="H79" i="43" s="1"/>
  <c r="M78" i="43"/>
  <c r="F78" i="43"/>
  <c r="H78" i="43" s="1"/>
  <c r="M77" i="43"/>
  <c r="F77" i="43"/>
  <c r="H77" i="43" s="1"/>
  <c r="P76" i="43"/>
  <c r="M76" i="43"/>
  <c r="F76" i="43"/>
  <c r="M75" i="43"/>
  <c r="F75" i="43"/>
  <c r="L73" i="43"/>
  <c r="K73" i="43"/>
  <c r="J73" i="43"/>
  <c r="I73" i="43"/>
  <c r="D73" i="43"/>
  <c r="P72" i="43"/>
  <c r="M72" i="43"/>
  <c r="F72" i="43"/>
  <c r="M71" i="43"/>
  <c r="F71" i="43"/>
  <c r="M70" i="43"/>
  <c r="F70" i="43"/>
  <c r="P69" i="43"/>
  <c r="M69" i="43"/>
  <c r="H69" i="43"/>
  <c r="P68" i="43"/>
  <c r="M68" i="43"/>
  <c r="F68" i="43"/>
  <c r="H68" i="43" s="1"/>
  <c r="P67" i="43"/>
  <c r="M67" i="43"/>
  <c r="F67" i="43"/>
  <c r="M66" i="43"/>
  <c r="F66" i="43"/>
  <c r="M65" i="43"/>
  <c r="L63" i="43"/>
  <c r="K63" i="43"/>
  <c r="J63" i="43"/>
  <c r="I63" i="43"/>
  <c r="P62" i="43"/>
  <c r="M62" i="43"/>
  <c r="P61" i="43"/>
  <c r="M61" i="43"/>
  <c r="M60" i="43"/>
  <c r="M59" i="43"/>
  <c r="D59" i="43"/>
  <c r="M58" i="43"/>
  <c r="D58" i="43"/>
  <c r="G58" i="43" s="1"/>
  <c r="M57" i="43"/>
  <c r="D57" i="43"/>
  <c r="F57" i="43" s="1"/>
  <c r="M56" i="43"/>
  <c r="D56" i="43"/>
  <c r="G56" i="43" s="1"/>
  <c r="M55" i="43"/>
  <c r="D55" i="43"/>
  <c r="M54" i="43"/>
  <c r="D54" i="43"/>
  <c r="G54" i="43" s="1"/>
  <c r="M53" i="43"/>
  <c r="D53" i="43"/>
  <c r="G53" i="43" s="1"/>
  <c r="M52" i="43"/>
  <c r="D52" i="43"/>
  <c r="M51" i="43"/>
  <c r="D51" i="43"/>
  <c r="M50" i="43"/>
  <c r="D50" i="43"/>
  <c r="G50" i="43" s="1"/>
  <c r="M49" i="43"/>
  <c r="D49" i="43"/>
  <c r="M48" i="43"/>
  <c r="D48" i="43"/>
  <c r="M47" i="43"/>
  <c r="D47" i="43"/>
  <c r="M46" i="43"/>
  <c r="D46" i="43"/>
  <c r="G46" i="43" s="1"/>
  <c r="M45" i="43"/>
  <c r="D45" i="43"/>
  <c r="G45" i="43" s="1"/>
  <c r="M44" i="43"/>
  <c r="D44" i="43"/>
  <c r="M43" i="43"/>
  <c r="D43" i="43"/>
  <c r="G43" i="43" s="1"/>
  <c r="M42" i="43"/>
  <c r="D42" i="43"/>
  <c r="G42" i="43" s="1"/>
  <c r="M41" i="43"/>
  <c r="D41" i="43"/>
  <c r="G41" i="43" s="1"/>
  <c r="P41" i="43" s="1"/>
  <c r="M40" i="43"/>
  <c r="D40" i="43"/>
  <c r="M38" i="43"/>
  <c r="M37" i="43"/>
  <c r="D37" i="43"/>
  <c r="G38" i="43" s="1"/>
  <c r="M36" i="43"/>
  <c r="D36" i="43"/>
  <c r="F36" i="43" s="1"/>
  <c r="M35" i="43"/>
  <c r="D35" i="43"/>
  <c r="F35" i="43" s="1"/>
  <c r="M34" i="43"/>
  <c r="M33" i="43"/>
  <c r="D33" i="43"/>
  <c r="G34" i="43" s="1"/>
  <c r="L31" i="43"/>
  <c r="K31" i="43"/>
  <c r="J31" i="43"/>
  <c r="I31" i="43"/>
  <c r="F31" i="43"/>
  <c r="D31" i="43"/>
  <c r="M30" i="43"/>
  <c r="H30" i="43"/>
  <c r="M29" i="43"/>
  <c r="P28" i="43"/>
  <c r="M28" i="43"/>
  <c r="H28" i="43"/>
  <c r="P27" i="43"/>
  <c r="M27" i="43"/>
  <c r="M26" i="43"/>
  <c r="L24" i="43"/>
  <c r="K24" i="43"/>
  <c r="J24" i="43"/>
  <c r="I24" i="43"/>
  <c r="D24" i="43"/>
  <c r="M23" i="43"/>
  <c r="F23" i="43"/>
  <c r="M22" i="43"/>
  <c r="F22" i="43"/>
  <c r="H22" i="43" s="1"/>
  <c r="M21" i="43"/>
  <c r="F21" i="43"/>
  <c r="H21" i="43" s="1"/>
  <c r="M20" i="43"/>
  <c r="F20" i="43"/>
  <c r="M19" i="43"/>
  <c r="F19" i="43"/>
  <c r="M18" i="43"/>
  <c r="P18" i="43"/>
  <c r="F18" i="43"/>
  <c r="M17" i="43"/>
  <c r="F17" i="43"/>
  <c r="H17" i="43" s="1"/>
  <c r="M16" i="43"/>
  <c r="P16" i="43"/>
  <c r="F16" i="43"/>
  <c r="P15" i="43"/>
  <c r="M15" i="43"/>
  <c r="F15" i="43"/>
  <c r="H15" i="43" s="1"/>
  <c r="M14" i="43"/>
  <c r="P14" i="43"/>
  <c r="F14" i="43"/>
  <c r="H14" i="43" s="1"/>
  <c r="P13" i="43"/>
  <c r="M13" i="43"/>
  <c r="F13" i="43"/>
  <c r="H13" i="43" s="1"/>
  <c r="P12" i="43"/>
  <c r="M12" i="43"/>
  <c r="F12" i="43"/>
  <c r="H12" i="43" s="1"/>
  <c r="P11" i="43"/>
  <c r="M11" i="43"/>
  <c r="F11" i="43"/>
  <c r="H11" i="43" s="1"/>
  <c r="P10" i="43"/>
  <c r="M10" i="43"/>
  <c r="F10" i="43"/>
  <c r="H10" i="43" s="1"/>
  <c r="H23" i="43" l="1"/>
  <c r="H70" i="43"/>
  <c r="H89" i="43"/>
  <c r="F33" i="43"/>
  <c r="H90" i="43"/>
  <c r="G39" i="43"/>
  <c r="F37" i="43"/>
  <c r="G57" i="43"/>
  <c r="P57" i="43" s="1"/>
  <c r="H94" i="43"/>
  <c r="H71" i="43"/>
  <c r="G36" i="43"/>
  <c r="H36" i="43" s="1"/>
  <c r="P60" i="43"/>
  <c r="H81" i="43"/>
  <c r="H86" i="43"/>
  <c r="H53" i="43"/>
  <c r="P53" i="43"/>
  <c r="H45" i="43"/>
  <c r="P45" i="43"/>
  <c r="G35" i="43"/>
  <c r="P35" i="43" s="1"/>
  <c r="G51" i="43"/>
  <c r="P51" i="43" s="1"/>
  <c r="G59" i="43"/>
  <c r="P59" i="43" s="1"/>
  <c r="G103" i="43"/>
  <c r="F24" i="43"/>
  <c r="H80" i="43"/>
  <c r="P86" i="43"/>
  <c r="P91" i="43" s="1"/>
  <c r="G40" i="43"/>
  <c r="P40" i="43" s="1"/>
  <c r="G44" i="43"/>
  <c r="H44" i="43" s="1"/>
  <c r="G48" i="43"/>
  <c r="P48" i="43" s="1"/>
  <c r="F59" i="43"/>
  <c r="F63" i="43" s="1"/>
  <c r="H20" i="43"/>
  <c r="G31" i="43"/>
  <c r="H47" i="43"/>
  <c r="H55" i="43"/>
  <c r="H67" i="43"/>
  <c r="H76" i="43"/>
  <c r="F91" i="43"/>
  <c r="H95" i="43"/>
  <c r="G33" i="43"/>
  <c r="G37" i="43"/>
  <c r="H19" i="43"/>
  <c r="H26" i="43"/>
  <c r="H31" i="43" s="1"/>
  <c r="H43" i="43"/>
  <c r="H72" i="43"/>
  <c r="P80" i="43"/>
  <c r="P84" i="43" s="1"/>
  <c r="H82" i="43"/>
  <c r="M84" i="43"/>
  <c r="M91" i="43"/>
  <c r="M103" i="43" s="1"/>
  <c r="M120" i="43" s="1"/>
  <c r="M24" i="43"/>
  <c r="M73" i="43"/>
  <c r="M31" i="43"/>
  <c r="H91" i="43"/>
  <c r="G84" i="43"/>
  <c r="P56" i="43"/>
  <c r="P52" i="43"/>
  <c r="H42" i="43"/>
  <c r="P42" i="43"/>
  <c r="H54" i="43"/>
  <c r="P54" i="43"/>
  <c r="H50" i="43"/>
  <c r="P50" i="43"/>
  <c r="H58" i="43"/>
  <c r="P58" i="43"/>
  <c r="P24" i="43"/>
  <c r="H46" i="43"/>
  <c r="P46" i="43"/>
  <c r="D63" i="43"/>
  <c r="P38" i="43"/>
  <c r="F38" i="43"/>
  <c r="H38" i="43" s="1"/>
  <c r="F73" i="43"/>
  <c r="H66" i="43"/>
  <c r="F84" i="43"/>
  <c r="F103" i="43" s="1"/>
  <c r="F120" i="43" s="1"/>
  <c r="H102" i="43"/>
  <c r="G24" i="43"/>
  <c r="H18" i="43"/>
  <c r="H35" i="43"/>
  <c r="H41" i="43"/>
  <c r="P43" i="43"/>
  <c r="H48" i="43"/>
  <c r="H49" i="43"/>
  <c r="H56" i="43"/>
  <c r="P73" i="43"/>
  <c r="H75" i="43"/>
  <c r="H16" i="43"/>
  <c r="H24" i="43" s="1"/>
  <c r="M63" i="43"/>
  <c r="H65" i="43"/>
  <c r="G73" i="43"/>
  <c r="P100" i="43"/>
  <c r="H100" i="43"/>
  <c r="H62" i="43"/>
  <c r="H59" i="43" l="1"/>
  <c r="H51" i="43"/>
  <c r="H57" i="43"/>
  <c r="H84" i="43"/>
  <c r="P36" i="43"/>
  <c r="H40" i="43"/>
  <c r="P103" i="43"/>
  <c r="P120" i="43" s="1"/>
  <c r="P44" i="43"/>
  <c r="H103" i="43"/>
  <c r="H120" i="43" s="1"/>
  <c r="H33" i="43"/>
  <c r="G63" i="43"/>
  <c r="P33" i="43"/>
  <c r="P34" i="43"/>
  <c r="H34" i="43"/>
  <c r="H39" i="43"/>
  <c r="P39" i="43"/>
  <c r="H73" i="43"/>
  <c r="H37" i="43"/>
  <c r="P37" i="43"/>
  <c r="P63" i="43" l="1"/>
  <c r="H63" i="43"/>
  <c r="P13" i="41" l="1"/>
  <c r="P11" i="41"/>
  <c r="P10" i="41"/>
  <c r="D169" i="42" l="1"/>
  <c r="D31" i="37" l="1"/>
  <c r="D24" i="37"/>
  <c r="L104" i="41"/>
  <c r="K104" i="41"/>
  <c r="J104" i="41"/>
  <c r="I104" i="41"/>
  <c r="D104" i="41"/>
  <c r="M103" i="41"/>
  <c r="H103" i="41"/>
  <c r="M102" i="41"/>
  <c r="G102" i="41"/>
  <c r="P102" i="41" s="1"/>
  <c r="P101" i="41"/>
  <c r="M101" i="41"/>
  <c r="F101" i="41"/>
  <c r="H101" i="41" s="1"/>
  <c r="G100" i="41"/>
  <c r="P99" i="41"/>
  <c r="M99" i="41"/>
  <c r="F99" i="41"/>
  <c r="H99" i="41" s="1"/>
  <c r="P98" i="41"/>
  <c r="F98" i="41"/>
  <c r="H98" i="41" s="1"/>
  <c r="P97" i="41"/>
  <c r="M97" i="41"/>
  <c r="H97" i="41"/>
  <c r="P96" i="41"/>
  <c r="F96" i="41"/>
  <c r="H96" i="41" s="1"/>
  <c r="P95" i="41"/>
  <c r="M95" i="41"/>
  <c r="F95" i="41"/>
  <c r="H95" i="41" s="1"/>
  <c r="P94" i="41"/>
  <c r="M94" i="41"/>
  <c r="F94" i="41"/>
  <c r="H94" i="41" s="1"/>
  <c r="P93" i="41"/>
  <c r="M93" i="41"/>
  <c r="F93" i="41"/>
  <c r="H93" i="41" s="1"/>
  <c r="L91" i="41"/>
  <c r="K91" i="41"/>
  <c r="J91" i="41"/>
  <c r="I91" i="41"/>
  <c r="G91" i="41"/>
  <c r="D91" i="41"/>
  <c r="P90" i="41"/>
  <c r="M90" i="41"/>
  <c r="F90" i="41"/>
  <c r="H90" i="41" s="1"/>
  <c r="P89" i="41"/>
  <c r="M89" i="41"/>
  <c r="H89" i="41"/>
  <c r="F89" i="41"/>
  <c r="P88" i="41"/>
  <c r="M88" i="41"/>
  <c r="F88" i="41"/>
  <c r="H88" i="41" s="1"/>
  <c r="P87" i="41"/>
  <c r="M87" i="41"/>
  <c r="F87" i="41"/>
  <c r="P86" i="41"/>
  <c r="M86" i="41"/>
  <c r="H86" i="41"/>
  <c r="F86" i="41"/>
  <c r="L84" i="41"/>
  <c r="K84" i="41"/>
  <c r="J84" i="41"/>
  <c r="I84" i="41"/>
  <c r="D84" i="41"/>
  <c r="P83" i="41"/>
  <c r="M83" i="41"/>
  <c r="F83" i="41"/>
  <c r="H83" i="41" s="1"/>
  <c r="P82" i="41"/>
  <c r="M82" i="41"/>
  <c r="F82" i="41"/>
  <c r="H82" i="41" s="1"/>
  <c r="P81" i="41"/>
  <c r="M81" i="41"/>
  <c r="F81" i="41"/>
  <c r="H81" i="41" s="1"/>
  <c r="P80" i="41"/>
  <c r="M80" i="41"/>
  <c r="F80" i="41"/>
  <c r="H80" i="41" s="1"/>
  <c r="P79" i="41"/>
  <c r="M79" i="41"/>
  <c r="F79" i="41"/>
  <c r="H79" i="41" s="1"/>
  <c r="P78" i="41"/>
  <c r="M78" i="41"/>
  <c r="F78" i="41"/>
  <c r="H78" i="41" s="1"/>
  <c r="P77" i="41"/>
  <c r="M77" i="41"/>
  <c r="F77" i="41"/>
  <c r="H77" i="41" s="1"/>
  <c r="M76" i="41"/>
  <c r="G76" i="41"/>
  <c r="G84" i="41" s="1"/>
  <c r="F76" i="41"/>
  <c r="H76" i="41" s="1"/>
  <c r="P75" i="41"/>
  <c r="M75" i="41"/>
  <c r="F75" i="41"/>
  <c r="L73" i="41"/>
  <c r="K73" i="41"/>
  <c r="J73" i="41"/>
  <c r="I73" i="41"/>
  <c r="D73" i="41"/>
  <c r="M72" i="41"/>
  <c r="G72" i="41"/>
  <c r="P72" i="41" s="1"/>
  <c r="F72" i="41"/>
  <c r="H72" i="41" s="1"/>
  <c r="M71" i="41"/>
  <c r="G71" i="41"/>
  <c r="P71" i="41" s="1"/>
  <c r="F71" i="41"/>
  <c r="H71" i="41" s="1"/>
  <c r="M70" i="41"/>
  <c r="G70" i="41"/>
  <c r="P70" i="41" s="1"/>
  <c r="F70" i="41"/>
  <c r="H70" i="41" s="1"/>
  <c r="M69" i="41"/>
  <c r="G69" i="41"/>
  <c r="P69" i="41" s="1"/>
  <c r="M68" i="41"/>
  <c r="G68" i="41"/>
  <c r="P68" i="41" s="1"/>
  <c r="F68" i="41"/>
  <c r="H68" i="41" s="1"/>
  <c r="M67" i="41"/>
  <c r="G67" i="41"/>
  <c r="P67" i="41" s="1"/>
  <c r="F67" i="41"/>
  <c r="M66" i="41"/>
  <c r="G66" i="41"/>
  <c r="P66" i="41" s="1"/>
  <c r="F66" i="41"/>
  <c r="M65" i="41"/>
  <c r="G65" i="41"/>
  <c r="P65" i="41" s="1"/>
  <c r="L63" i="41"/>
  <c r="K63" i="41"/>
  <c r="J63" i="41"/>
  <c r="I63" i="41"/>
  <c r="P62" i="41"/>
  <c r="M62" i="41"/>
  <c r="F62" i="41"/>
  <c r="F63" i="41" s="1"/>
  <c r="M61" i="41"/>
  <c r="G61" i="41"/>
  <c r="H61" i="41" s="1"/>
  <c r="M60" i="41"/>
  <c r="G60" i="41"/>
  <c r="H60" i="41" s="1"/>
  <c r="M59" i="41"/>
  <c r="D59" i="41"/>
  <c r="G59" i="41" s="1"/>
  <c r="H59" i="41" s="1"/>
  <c r="M58" i="41"/>
  <c r="D58" i="41"/>
  <c r="G58" i="41" s="1"/>
  <c r="M57" i="41"/>
  <c r="D57" i="41"/>
  <c r="G57" i="41" s="1"/>
  <c r="P57" i="41" s="1"/>
  <c r="M56" i="41"/>
  <c r="D56" i="41"/>
  <c r="G56" i="41" s="1"/>
  <c r="P56" i="41" s="1"/>
  <c r="M55" i="41"/>
  <c r="D55" i="41"/>
  <c r="G55" i="41" s="1"/>
  <c r="H55" i="41" s="1"/>
  <c r="M54" i="41"/>
  <c r="D54" i="41"/>
  <c r="G54" i="41" s="1"/>
  <c r="M53" i="41"/>
  <c r="H53" i="41"/>
  <c r="G53" i="41"/>
  <c r="P53" i="41" s="1"/>
  <c r="D53" i="41"/>
  <c r="M52" i="41"/>
  <c r="D52" i="41"/>
  <c r="G52" i="41" s="1"/>
  <c r="P52" i="41" s="1"/>
  <c r="M51" i="41"/>
  <c r="D51" i="41"/>
  <c r="G51" i="41" s="1"/>
  <c r="H51" i="41" s="1"/>
  <c r="M50" i="41"/>
  <c r="D50" i="41"/>
  <c r="G50" i="41" s="1"/>
  <c r="M49" i="41"/>
  <c r="D49" i="41"/>
  <c r="G49" i="41" s="1"/>
  <c r="P49" i="41" s="1"/>
  <c r="M48" i="41"/>
  <c r="D48" i="41"/>
  <c r="G48" i="41" s="1"/>
  <c r="P48" i="41" s="1"/>
  <c r="M47" i="41"/>
  <c r="D47" i="41"/>
  <c r="G47" i="41" s="1"/>
  <c r="H47" i="41" s="1"/>
  <c r="M46" i="41"/>
  <c r="D46" i="41"/>
  <c r="G46" i="41" s="1"/>
  <c r="M45" i="41"/>
  <c r="G45" i="41"/>
  <c r="D45" i="41"/>
  <c r="M44" i="41"/>
  <c r="H44" i="41"/>
  <c r="D44" i="41"/>
  <c r="G44" i="41" s="1"/>
  <c r="P44" i="41" s="1"/>
  <c r="M43" i="41"/>
  <c r="D43" i="41"/>
  <c r="G43" i="41" s="1"/>
  <c r="H43" i="41" s="1"/>
  <c r="M42" i="41"/>
  <c r="D42" i="41"/>
  <c r="G42" i="41" s="1"/>
  <c r="M41" i="41"/>
  <c r="D41" i="41"/>
  <c r="G41" i="41" s="1"/>
  <c r="P41" i="41" s="1"/>
  <c r="M40" i="41"/>
  <c r="D40" i="41"/>
  <c r="M38" i="41"/>
  <c r="M37" i="41"/>
  <c r="D37" i="41"/>
  <c r="M36" i="41"/>
  <c r="D36" i="41"/>
  <c r="G36" i="41" s="1"/>
  <c r="M35" i="41"/>
  <c r="D35" i="41"/>
  <c r="G35" i="41" s="1"/>
  <c r="P35" i="41" s="1"/>
  <c r="M34" i="41"/>
  <c r="M33" i="41"/>
  <c r="D33" i="41"/>
  <c r="L31" i="41"/>
  <c r="K31" i="41"/>
  <c r="J31" i="41"/>
  <c r="I31" i="41"/>
  <c r="F31" i="41"/>
  <c r="D31" i="41"/>
  <c r="M30" i="41"/>
  <c r="G30" i="41"/>
  <c r="H30" i="41" s="1"/>
  <c r="M29" i="41"/>
  <c r="G29" i="41"/>
  <c r="P29" i="41" s="1"/>
  <c r="P28" i="41"/>
  <c r="M28" i="41"/>
  <c r="G28" i="41"/>
  <c r="H28" i="41" s="1"/>
  <c r="M27" i="41"/>
  <c r="G27" i="41"/>
  <c r="P27" i="41" s="1"/>
  <c r="M26" i="41"/>
  <c r="G26" i="41"/>
  <c r="H26" i="41" s="1"/>
  <c r="H31" i="41" s="1"/>
  <c r="L24" i="41"/>
  <c r="K24" i="41"/>
  <c r="J24" i="41"/>
  <c r="I24" i="41"/>
  <c r="D24" i="41"/>
  <c r="M23" i="41"/>
  <c r="G23" i="41"/>
  <c r="P23" i="41" s="1"/>
  <c r="F23" i="41"/>
  <c r="H23" i="41" s="1"/>
  <c r="M22" i="41"/>
  <c r="G22" i="41"/>
  <c r="P22" i="41" s="1"/>
  <c r="F22" i="41"/>
  <c r="H22" i="41" s="1"/>
  <c r="M21" i="41"/>
  <c r="G21" i="41"/>
  <c r="P21" i="41" s="1"/>
  <c r="F21" i="41"/>
  <c r="H21" i="41" s="1"/>
  <c r="M20" i="41"/>
  <c r="G20" i="41"/>
  <c r="P20" i="41" s="1"/>
  <c r="F20" i="41"/>
  <c r="H20" i="41" s="1"/>
  <c r="M19" i="41"/>
  <c r="G19" i="41"/>
  <c r="P19" i="41" s="1"/>
  <c r="F19" i="41"/>
  <c r="H19" i="41" s="1"/>
  <c r="M18" i="41"/>
  <c r="G18" i="41"/>
  <c r="P18" i="41" s="1"/>
  <c r="F18" i="41"/>
  <c r="M17" i="41"/>
  <c r="G17" i="41"/>
  <c r="P17" i="41" s="1"/>
  <c r="F17" i="41"/>
  <c r="M16" i="41"/>
  <c r="G16" i="41"/>
  <c r="P16" i="41" s="1"/>
  <c r="F16" i="41"/>
  <c r="M15" i="41"/>
  <c r="G15" i="41"/>
  <c r="P15" i="41" s="1"/>
  <c r="F15" i="41"/>
  <c r="H15" i="41" s="1"/>
  <c r="M14" i="41"/>
  <c r="G14" i="41"/>
  <c r="P14" i="41" s="1"/>
  <c r="F14" i="41"/>
  <c r="H14" i="41" s="1"/>
  <c r="M13" i="41"/>
  <c r="F13" i="41"/>
  <c r="H13" i="41" s="1"/>
  <c r="M12" i="41"/>
  <c r="G12" i="41"/>
  <c r="P12" i="41" s="1"/>
  <c r="F12" i="41"/>
  <c r="H12" i="41" s="1"/>
  <c r="M11" i="41"/>
  <c r="F11" i="41"/>
  <c r="H11" i="41" s="1"/>
  <c r="M10" i="41"/>
  <c r="F10" i="41"/>
  <c r="P101" i="39"/>
  <c r="P99" i="39"/>
  <c r="P98" i="39"/>
  <c r="P97" i="39"/>
  <c r="P96" i="39"/>
  <c r="P95" i="39"/>
  <c r="P94" i="39"/>
  <c r="P93" i="39"/>
  <c r="P101" i="38"/>
  <c r="P99" i="38"/>
  <c r="P98" i="38"/>
  <c r="P97" i="38"/>
  <c r="P96" i="38"/>
  <c r="P95" i="38"/>
  <c r="P94" i="38"/>
  <c r="P93" i="38"/>
  <c r="P101" i="37"/>
  <c r="P99" i="37"/>
  <c r="P98" i="37"/>
  <c r="P97" i="37"/>
  <c r="P96" i="37"/>
  <c r="P95" i="37"/>
  <c r="P94" i="37"/>
  <c r="P93" i="37"/>
  <c r="P101" i="36"/>
  <c r="P99" i="36"/>
  <c r="P98" i="36"/>
  <c r="P97" i="36"/>
  <c r="P96" i="36"/>
  <c r="P95" i="36"/>
  <c r="P94" i="36"/>
  <c r="P93" i="36"/>
  <c r="P94" i="35"/>
  <c r="P92" i="35"/>
  <c r="P91" i="35"/>
  <c r="P90" i="35"/>
  <c r="P89" i="35"/>
  <c r="P88" i="35"/>
  <c r="P87" i="35"/>
  <c r="P86" i="35"/>
  <c r="P90" i="39"/>
  <c r="P89" i="39"/>
  <c r="P88" i="39"/>
  <c r="P87" i="39"/>
  <c r="P86" i="39"/>
  <c r="P90" i="38"/>
  <c r="P89" i="38"/>
  <c r="P88" i="38"/>
  <c r="P87" i="38"/>
  <c r="P86" i="38"/>
  <c r="P90" i="37"/>
  <c r="P89" i="37"/>
  <c r="P88" i="37"/>
  <c r="P87" i="37"/>
  <c r="P86" i="37"/>
  <c r="P90" i="36"/>
  <c r="P89" i="36"/>
  <c r="P88" i="36"/>
  <c r="P87" i="36"/>
  <c r="P86" i="36"/>
  <c r="P62" i="39"/>
  <c r="P62" i="38"/>
  <c r="P62" i="37"/>
  <c r="P62" i="36"/>
  <c r="P62" i="35"/>
  <c r="P101" i="40"/>
  <c r="P99" i="40"/>
  <c r="P98" i="40"/>
  <c r="P97" i="40"/>
  <c r="P96" i="40"/>
  <c r="P95" i="40"/>
  <c r="P94" i="40"/>
  <c r="P93" i="40"/>
  <c r="P90" i="40"/>
  <c r="P89" i="40"/>
  <c r="P88" i="40"/>
  <c r="P87" i="40"/>
  <c r="P86" i="40"/>
  <c r="P83" i="40"/>
  <c r="P82" i="40"/>
  <c r="P81" i="40"/>
  <c r="P80" i="40"/>
  <c r="P79" i="40"/>
  <c r="P78" i="40"/>
  <c r="P77" i="40"/>
  <c r="P75" i="40"/>
  <c r="P62" i="40"/>
  <c r="M91" i="41" l="1"/>
  <c r="F91" i="41"/>
  <c r="F104" i="41" s="1"/>
  <c r="H87" i="41"/>
  <c r="H91" i="41" s="1"/>
  <c r="H104" i="41" s="1"/>
  <c r="H17" i="41"/>
  <c r="G40" i="41"/>
  <c r="P40" i="41" s="1"/>
  <c r="P45" i="41"/>
  <c r="H45" i="41"/>
  <c r="M84" i="41"/>
  <c r="M31" i="41"/>
  <c r="G33" i="41"/>
  <c r="G34" i="41"/>
  <c r="P60" i="41"/>
  <c r="P26" i="41"/>
  <c r="P47" i="41"/>
  <c r="P61" i="41"/>
  <c r="P55" i="41"/>
  <c r="M73" i="41"/>
  <c r="P30" i="41"/>
  <c r="H52" i="41"/>
  <c r="H67" i="41"/>
  <c r="G31" i="41"/>
  <c r="H69" i="41"/>
  <c r="P76" i="41"/>
  <c r="P84" i="41" s="1"/>
  <c r="M24" i="41"/>
  <c r="H42" i="41"/>
  <c r="P42" i="41"/>
  <c r="H54" i="41"/>
  <c r="P54" i="41"/>
  <c r="H50" i="41"/>
  <c r="P50" i="41"/>
  <c r="H36" i="41"/>
  <c r="P36" i="41"/>
  <c r="H58" i="41"/>
  <c r="P58" i="41"/>
  <c r="H46" i="41"/>
  <c r="P46" i="41"/>
  <c r="F24" i="41"/>
  <c r="G24" i="41"/>
  <c r="P24" i="41"/>
  <c r="D63" i="41"/>
  <c r="G39" i="41"/>
  <c r="G38" i="41"/>
  <c r="P38" i="41" s="1"/>
  <c r="F38" i="41"/>
  <c r="F73" i="41"/>
  <c r="H66" i="41"/>
  <c r="F84" i="41"/>
  <c r="H102" i="41"/>
  <c r="H10" i="41"/>
  <c r="H18" i="41"/>
  <c r="H35" i="41"/>
  <c r="G37" i="41"/>
  <c r="H40" i="41"/>
  <c r="H41" i="41"/>
  <c r="P43" i="41"/>
  <c r="H48" i="41"/>
  <c r="H49" i="41"/>
  <c r="P51" i="41"/>
  <c r="H56" i="41"/>
  <c r="H57" i="41"/>
  <c r="P59" i="41"/>
  <c r="P73" i="41"/>
  <c r="H75" i="41"/>
  <c r="H84" i="41" s="1"/>
  <c r="M104" i="41"/>
  <c r="G104" i="41"/>
  <c r="H16" i="41"/>
  <c r="M63" i="41"/>
  <c r="H65" i="41"/>
  <c r="G73" i="41"/>
  <c r="P104" i="41"/>
  <c r="P100" i="41"/>
  <c r="H100" i="41"/>
  <c r="H62" i="41"/>
  <c r="P91" i="39"/>
  <c r="P91" i="38"/>
  <c r="P24" i="38"/>
  <c r="P91" i="37"/>
  <c r="P31" i="37"/>
  <c r="P24" i="37"/>
  <c r="F94" i="36"/>
  <c r="F93" i="36"/>
  <c r="P91" i="36"/>
  <c r="F76" i="35"/>
  <c r="F75" i="35"/>
  <c r="S83" i="35"/>
  <c r="S10" i="35"/>
  <c r="T19" i="35"/>
  <c r="V17" i="35"/>
  <c r="P34" i="41" l="1"/>
  <c r="H34" i="41"/>
  <c r="H24" i="41"/>
  <c r="H39" i="41"/>
  <c r="P39" i="41"/>
  <c r="H73" i="41"/>
  <c r="H37" i="41"/>
  <c r="P37" i="41"/>
  <c r="H38" i="41"/>
  <c r="H33" i="41"/>
  <c r="G63" i="41"/>
  <c r="P33" i="41"/>
  <c r="P63" i="41" s="1"/>
  <c r="P24" i="36"/>
  <c r="P31" i="36"/>
  <c r="P24" i="35"/>
  <c r="L24" i="35"/>
  <c r="L63" i="35"/>
  <c r="L84" i="35"/>
  <c r="L84" i="36"/>
  <c r="L73" i="36"/>
  <c r="L63" i="36"/>
  <c r="L31" i="36"/>
  <c r="L24" i="36"/>
  <c r="L24" i="37"/>
  <c r="L63" i="37"/>
  <c r="L73" i="37"/>
  <c r="L84" i="37"/>
  <c r="L24" i="38"/>
  <c r="L31" i="38"/>
  <c r="L63" i="38"/>
  <c r="L73" i="38"/>
  <c r="L84" i="38"/>
  <c r="L24" i="39"/>
  <c r="L63" i="39"/>
  <c r="L73" i="39"/>
  <c r="L84" i="39"/>
  <c r="L24" i="40"/>
  <c r="L31" i="40"/>
  <c r="L63" i="40"/>
  <c r="L73" i="40"/>
  <c r="L84" i="40"/>
  <c r="G102" i="40"/>
  <c r="P102" i="40" s="1"/>
  <c r="F101" i="40"/>
  <c r="H101" i="40" s="1"/>
  <c r="G100" i="40"/>
  <c r="F99" i="40"/>
  <c r="H99" i="40" s="1"/>
  <c r="F98" i="40"/>
  <c r="H98" i="40" s="1"/>
  <c r="F96" i="40"/>
  <c r="H96" i="40" s="1"/>
  <c r="F95" i="40"/>
  <c r="F94" i="40"/>
  <c r="H94" i="40" s="1"/>
  <c r="F93" i="40"/>
  <c r="H93" i="40" s="1"/>
  <c r="L104" i="40"/>
  <c r="K104" i="40"/>
  <c r="J104" i="40"/>
  <c r="I104" i="40"/>
  <c r="D104" i="40"/>
  <c r="M103" i="40"/>
  <c r="H103" i="40"/>
  <c r="M102" i="40"/>
  <c r="M101" i="40"/>
  <c r="M99" i="40"/>
  <c r="M97" i="40"/>
  <c r="H97" i="40"/>
  <c r="M95" i="40"/>
  <c r="H95" i="40"/>
  <c r="M94" i="40"/>
  <c r="M93" i="40"/>
  <c r="L91" i="40"/>
  <c r="K91" i="40"/>
  <c r="J91" i="40"/>
  <c r="I91" i="40"/>
  <c r="G91" i="40"/>
  <c r="D91" i="40"/>
  <c r="M90" i="40"/>
  <c r="F90" i="40"/>
  <c r="H90" i="40" s="1"/>
  <c r="M89" i="40"/>
  <c r="F89" i="40"/>
  <c r="H89" i="40" s="1"/>
  <c r="M88" i="40"/>
  <c r="F88" i="40"/>
  <c r="H88" i="40" s="1"/>
  <c r="M87" i="40"/>
  <c r="F87" i="40"/>
  <c r="H87" i="40" s="1"/>
  <c r="M86" i="40"/>
  <c r="F86" i="40"/>
  <c r="H86" i="40" s="1"/>
  <c r="K84" i="40"/>
  <c r="J84" i="40"/>
  <c r="I84" i="40"/>
  <c r="G84" i="40"/>
  <c r="D84" i="40"/>
  <c r="M83" i="40"/>
  <c r="F83" i="40"/>
  <c r="H83" i="40" s="1"/>
  <c r="M82" i="40"/>
  <c r="F82" i="40"/>
  <c r="H82" i="40" s="1"/>
  <c r="M81" i="40"/>
  <c r="F81" i="40"/>
  <c r="H81" i="40" s="1"/>
  <c r="M80" i="40"/>
  <c r="F80" i="40"/>
  <c r="H80" i="40" s="1"/>
  <c r="M79" i="40"/>
  <c r="H79" i="40"/>
  <c r="F79" i="40"/>
  <c r="M78" i="40"/>
  <c r="F78" i="40"/>
  <c r="H78" i="40" s="1"/>
  <c r="M77" i="40"/>
  <c r="F77" i="40"/>
  <c r="H77" i="40" s="1"/>
  <c r="M76" i="40"/>
  <c r="G76" i="40"/>
  <c r="P76" i="40" s="1"/>
  <c r="P84" i="40" s="1"/>
  <c r="F76" i="40"/>
  <c r="H76" i="40" s="1"/>
  <c r="M75" i="40"/>
  <c r="F75" i="40"/>
  <c r="F84" i="40" s="1"/>
  <c r="K73" i="40"/>
  <c r="J73" i="40"/>
  <c r="I73" i="40"/>
  <c r="D73" i="40"/>
  <c r="M72" i="40"/>
  <c r="H72" i="40"/>
  <c r="G72" i="40"/>
  <c r="P72" i="40" s="1"/>
  <c r="F72" i="40"/>
  <c r="M71" i="40"/>
  <c r="G71" i="40"/>
  <c r="P71" i="40" s="1"/>
  <c r="F71" i="40"/>
  <c r="H71" i="40" s="1"/>
  <c r="M70" i="40"/>
  <c r="H70" i="40"/>
  <c r="G70" i="40"/>
  <c r="P70" i="40" s="1"/>
  <c r="F70" i="40"/>
  <c r="M69" i="40"/>
  <c r="H69" i="40"/>
  <c r="G69" i="40"/>
  <c r="P69" i="40" s="1"/>
  <c r="M68" i="40"/>
  <c r="G68" i="40"/>
  <c r="F68" i="40"/>
  <c r="M67" i="40"/>
  <c r="G67" i="40"/>
  <c r="F67" i="40"/>
  <c r="M66" i="40"/>
  <c r="G66" i="40"/>
  <c r="F66" i="40"/>
  <c r="M65" i="40"/>
  <c r="G65" i="40"/>
  <c r="K63" i="40"/>
  <c r="J63" i="40"/>
  <c r="I63" i="40"/>
  <c r="M62" i="40"/>
  <c r="F62" i="40"/>
  <c r="M61" i="40"/>
  <c r="G61" i="40"/>
  <c r="M60" i="40"/>
  <c r="G60" i="40"/>
  <c r="M59" i="40"/>
  <c r="H59" i="40"/>
  <c r="D59" i="40"/>
  <c r="G59" i="40" s="1"/>
  <c r="P59" i="40" s="1"/>
  <c r="M58" i="40"/>
  <c r="D58" i="40"/>
  <c r="G58" i="40" s="1"/>
  <c r="M57" i="40"/>
  <c r="D57" i="40"/>
  <c r="G57" i="40" s="1"/>
  <c r="M56" i="40"/>
  <c r="D56" i="40"/>
  <c r="G56" i="40" s="1"/>
  <c r="M55" i="40"/>
  <c r="D55" i="40"/>
  <c r="G55" i="40" s="1"/>
  <c r="P55" i="40" s="1"/>
  <c r="M54" i="40"/>
  <c r="D54" i="40"/>
  <c r="G54" i="40" s="1"/>
  <c r="M53" i="40"/>
  <c r="D53" i="40"/>
  <c r="G53" i="40" s="1"/>
  <c r="M52" i="40"/>
  <c r="D52" i="40"/>
  <c r="G52" i="40" s="1"/>
  <c r="M51" i="40"/>
  <c r="D51" i="40"/>
  <c r="G51" i="40" s="1"/>
  <c r="P51" i="40" s="1"/>
  <c r="M50" i="40"/>
  <c r="D50" i="40"/>
  <c r="G50" i="40" s="1"/>
  <c r="M49" i="40"/>
  <c r="D49" i="40"/>
  <c r="G49" i="40" s="1"/>
  <c r="M48" i="40"/>
  <c r="D48" i="40"/>
  <c r="G48" i="40" s="1"/>
  <c r="M47" i="40"/>
  <c r="D47" i="40"/>
  <c r="G47" i="40" s="1"/>
  <c r="P47" i="40" s="1"/>
  <c r="M46" i="40"/>
  <c r="D46" i="40"/>
  <c r="G46" i="40" s="1"/>
  <c r="M45" i="40"/>
  <c r="D45" i="40"/>
  <c r="G45" i="40" s="1"/>
  <c r="M44" i="40"/>
  <c r="D44" i="40"/>
  <c r="G44" i="40" s="1"/>
  <c r="M43" i="40"/>
  <c r="H43" i="40"/>
  <c r="D43" i="40"/>
  <c r="G43" i="40" s="1"/>
  <c r="P43" i="40" s="1"/>
  <c r="M42" i="40"/>
  <c r="D42" i="40"/>
  <c r="G42" i="40" s="1"/>
  <c r="M41" i="40"/>
  <c r="D41" i="40"/>
  <c r="G41" i="40" s="1"/>
  <c r="M40" i="40"/>
  <c r="D40" i="40"/>
  <c r="G40" i="40" s="1"/>
  <c r="M38" i="40"/>
  <c r="M37" i="40"/>
  <c r="D37" i="40"/>
  <c r="M36" i="40"/>
  <c r="D36" i="40"/>
  <c r="G36" i="40" s="1"/>
  <c r="M35" i="40"/>
  <c r="D35" i="40"/>
  <c r="G35" i="40" s="1"/>
  <c r="M34" i="40"/>
  <c r="M33" i="40"/>
  <c r="D33" i="40"/>
  <c r="K31" i="40"/>
  <c r="J31" i="40"/>
  <c r="I31" i="40"/>
  <c r="F31" i="40"/>
  <c r="D31" i="40"/>
  <c r="M30" i="40"/>
  <c r="G30" i="40"/>
  <c r="M29" i="40"/>
  <c r="G29" i="40"/>
  <c r="P29" i="40" s="1"/>
  <c r="M28" i="40"/>
  <c r="G28" i="40"/>
  <c r="M27" i="40"/>
  <c r="G27" i="40"/>
  <c r="P27" i="40" s="1"/>
  <c r="M26" i="40"/>
  <c r="G26" i="40"/>
  <c r="P26" i="40" s="1"/>
  <c r="K24" i="40"/>
  <c r="J24" i="40"/>
  <c r="I24" i="40"/>
  <c r="D24" i="40"/>
  <c r="M23" i="40"/>
  <c r="G23" i="40"/>
  <c r="F23" i="40"/>
  <c r="M22" i="40"/>
  <c r="G22" i="40"/>
  <c r="F22" i="40"/>
  <c r="M21" i="40"/>
  <c r="G21" i="40"/>
  <c r="F21" i="40"/>
  <c r="M20" i="40"/>
  <c r="G20" i="40"/>
  <c r="F20" i="40"/>
  <c r="M19" i="40"/>
  <c r="G19" i="40"/>
  <c r="F19" i="40"/>
  <c r="M18" i="40"/>
  <c r="G18" i="40"/>
  <c r="F18" i="40"/>
  <c r="M17" i="40"/>
  <c r="G17" i="40"/>
  <c r="F17" i="40"/>
  <c r="M16" i="40"/>
  <c r="G16" i="40"/>
  <c r="F16" i="40"/>
  <c r="M15" i="40"/>
  <c r="G15" i="40"/>
  <c r="F15" i="40"/>
  <c r="M14" i="40"/>
  <c r="G14" i="40"/>
  <c r="F14" i="40"/>
  <c r="M13" i="40"/>
  <c r="G13" i="40"/>
  <c r="F13" i="40"/>
  <c r="M12" i="40"/>
  <c r="G12" i="40"/>
  <c r="F12" i="40"/>
  <c r="M11" i="40"/>
  <c r="G11" i="40"/>
  <c r="F11" i="40"/>
  <c r="M10" i="40"/>
  <c r="G10" i="40"/>
  <c r="F10" i="40"/>
  <c r="F24" i="40" s="1"/>
  <c r="G61" i="39"/>
  <c r="P61" i="39" s="1"/>
  <c r="G60" i="39"/>
  <c r="P60" i="39" s="1"/>
  <c r="G57" i="39"/>
  <c r="P57" i="39" s="1"/>
  <c r="G53" i="39"/>
  <c r="P53" i="39" s="1"/>
  <c r="G52" i="39"/>
  <c r="P52" i="39" s="1"/>
  <c r="G51" i="39"/>
  <c r="G50" i="39"/>
  <c r="P50" i="39" s="1"/>
  <c r="G46" i="39"/>
  <c r="P46" i="39" s="1"/>
  <c r="G35" i="39"/>
  <c r="P35" i="39" s="1"/>
  <c r="G34" i="39"/>
  <c r="P34" i="39" s="1"/>
  <c r="G33" i="39"/>
  <c r="P33" i="39" s="1"/>
  <c r="L104" i="39"/>
  <c r="K104" i="39"/>
  <c r="J104" i="39"/>
  <c r="I104" i="39"/>
  <c r="D104" i="39"/>
  <c r="M103" i="39"/>
  <c r="H103" i="39"/>
  <c r="M102" i="39"/>
  <c r="G102" i="39"/>
  <c r="M101" i="39"/>
  <c r="F101" i="39"/>
  <c r="H101" i="39" s="1"/>
  <c r="G100" i="39"/>
  <c r="M99" i="39"/>
  <c r="F99" i="39"/>
  <c r="H99" i="39" s="1"/>
  <c r="F98" i="39"/>
  <c r="H98" i="39" s="1"/>
  <c r="M97" i="39"/>
  <c r="H97" i="39"/>
  <c r="F96" i="39"/>
  <c r="H96" i="39" s="1"/>
  <c r="M95" i="39"/>
  <c r="F95" i="39"/>
  <c r="H95" i="39" s="1"/>
  <c r="M94" i="39"/>
  <c r="F94" i="39"/>
  <c r="H94" i="39" s="1"/>
  <c r="M93" i="39"/>
  <c r="F93" i="39"/>
  <c r="H93" i="39" s="1"/>
  <c r="L91" i="39"/>
  <c r="K91" i="39"/>
  <c r="J91" i="39"/>
  <c r="I91" i="39"/>
  <c r="G91" i="39"/>
  <c r="D91" i="39"/>
  <c r="M90" i="39"/>
  <c r="F90" i="39"/>
  <c r="H90" i="39" s="1"/>
  <c r="M89" i="39"/>
  <c r="F89" i="39"/>
  <c r="H89" i="39" s="1"/>
  <c r="M88" i="39"/>
  <c r="F88" i="39"/>
  <c r="H88" i="39" s="1"/>
  <c r="M87" i="39"/>
  <c r="F87" i="39"/>
  <c r="H87" i="39" s="1"/>
  <c r="M86" i="39"/>
  <c r="F86" i="39"/>
  <c r="H86" i="39" s="1"/>
  <c r="K84" i="39"/>
  <c r="J84" i="39"/>
  <c r="I84" i="39"/>
  <c r="G84" i="39"/>
  <c r="D84" i="39"/>
  <c r="M83" i="39"/>
  <c r="F83" i="39"/>
  <c r="H83" i="39" s="1"/>
  <c r="P83" i="39" s="1"/>
  <c r="M82" i="39"/>
  <c r="F82" i="39"/>
  <c r="H82" i="39" s="1"/>
  <c r="P82" i="39" s="1"/>
  <c r="M81" i="39"/>
  <c r="F81" i="39"/>
  <c r="H81" i="39" s="1"/>
  <c r="P81" i="39" s="1"/>
  <c r="M80" i="39"/>
  <c r="F80" i="39"/>
  <c r="H80" i="39" s="1"/>
  <c r="P80" i="39" s="1"/>
  <c r="M79" i="39"/>
  <c r="H79" i="39"/>
  <c r="P79" i="39" s="1"/>
  <c r="F79" i="39"/>
  <c r="M78" i="39"/>
  <c r="F78" i="39"/>
  <c r="H78" i="39" s="1"/>
  <c r="P78" i="39" s="1"/>
  <c r="M77" i="39"/>
  <c r="F77" i="39"/>
  <c r="H77" i="39" s="1"/>
  <c r="P77" i="39" s="1"/>
  <c r="M76" i="39"/>
  <c r="G76" i="39"/>
  <c r="F76" i="39"/>
  <c r="H76" i="39" s="1"/>
  <c r="P76" i="39" s="1"/>
  <c r="M75" i="39"/>
  <c r="F75" i="39"/>
  <c r="K73" i="39"/>
  <c r="J73" i="39"/>
  <c r="I73" i="39"/>
  <c r="D73" i="39"/>
  <c r="M72" i="39"/>
  <c r="G72" i="39"/>
  <c r="P72" i="39" s="1"/>
  <c r="F72" i="39"/>
  <c r="H72" i="39" s="1"/>
  <c r="M71" i="39"/>
  <c r="G71" i="39"/>
  <c r="P71" i="39" s="1"/>
  <c r="F71" i="39"/>
  <c r="H71" i="39" s="1"/>
  <c r="M70" i="39"/>
  <c r="G70" i="39"/>
  <c r="P70" i="39" s="1"/>
  <c r="F70" i="39"/>
  <c r="H70" i="39" s="1"/>
  <c r="M69" i="39"/>
  <c r="G69" i="39"/>
  <c r="P69" i="39" s="1"/>
  <c r="M68" i="39"/>
  <c r="G68" i="39"/>
  <c r="F68" i="39"/>
  <c r="M67" i="39"/>
  <c r="G67" i="39"/>
  <c r="F67" i="39"/>
  <c r="M66" i="39"/>
  <c r="G66" i="39"/>
  <c r="F66" i="39"/>
  <c r="M65" i="39"/>
  <c r="G65" i="39"/>
  <c r="K63" i="39"/>
  <c r="J63" i="39"/>
  <c r="I63" i="39"/>
  <c r="M62" i="39"/>
  <c r="F62" i="39"/>
  <c r="H62" i="39" s="1"/>
  <c r="M61" i="39"/>
  <c r="H61" i="39"/>
  <c r="M60" i="39"/>
  <c r="H60" i="39"/>
  <c r="M59" i="39"/>
  <c r="D59" i="39"/>
  <c r="G59" i="39" s="1"/>
  <c r="M58" i="39"/>
  <c r="D58" i="39"/>
  <c r="G58" i="39" s="1"/>
  <c r="P58" i="39" s="1"/>
  <c r="M57" i="39"/>
  <c r="D57" i="39"/>
  <c r="M56" i="39"/>
  <c r="D56" i="39"/>
  <c r="M55" i="39"/>
  <c r="D55" i="39"/>
  <c r="G55" i="39" s="1"/>
  <c r="M54" i="39"/>
  <c r="D54" i="39"/>
  <c r="M53" i="39"/>
  <c r="D53" i="39"/>
  <c r="M52" i="39"/>
  <c r="D52" i="39"/>
  <c r="M51" i="39"/>
  <c r="D51" i="39"/>
  <c r="M50" i="39"/>
  <c r="D50" i="39"/>
  <c r="M49" i="39"/>
  <c r="D49" i="39"/>
  <c r="G49" i="39" s="1"/>
  <c r="P49" i="39" s="1"/>
  <c r="M48" i="39"/>
  <c r="D48" i="39"/>
  <c r="G48" i="39" s="1"/>
  <c r="P48" i="39" s="1"/>
  <c r="M47" i="39"/>
  <c r="D47" i="39"/>
  <c r="G47" i="39" s="1"/>
  <c r="M46" i="39"/>
  <c r="D46" i="39"/>
  <c r="M45" i="39"/>
  <c r="D45" i="39"/>
  <c r="G45" i="39" s="1"/>
  <c r="M44" i="39"/>
  <c r="D44" i="39"/>
  <c r="G44" i="39" s="1"/>
  <c r="M43" i="39"/>
  <c r="H43" i="39"/>
  <c r="D43" i="39"/>
  <c r="G43" i="39" s="1"/>
  <c r="P43" i="39" s="1"/>
  <c r="M42" i="39"/>
  <c r="D42" i="39"/>
  <c r="G42" i="39" s="1"/>
  <c r="M41" i="39"/>
  <c r="D41" i="39"/>
  <c r="M40" i="39"/>
  <c r="D40" i="39"/>
  <c r="G40" i="39" s="1"/>
  <c r="P40" i="39" s="1"/>
  <c r="M38" i="39"/>
  <c r="M37" i="39"/>
  <c r="D37" i="39"/>
  <c r="G39" i="39" s="1"/>
  <c r="P39" i="39" s="1"/>
  <c r="M36" i="39"/>
  <c r="D36" i="39"/>
  <c r="G36" i="39" s="1"/>
  <c r="M35" i="39"/>
  <c r="D35" i="39"/>
  <c r="M34" i="39"/>
  <c r="M33" i="39"/>
  <c r="D33" i="39"/>
  <c r="K31" i="39"/>
  <c r="J31" i="39"/>
  <c r="I31" i="39"/>
  <c r="F31" i="39"/>
  <c r="D31" i="39"/>
  <c r="M30" i="39"/>
  <c r="G30" i="39"/>
  <c r="H30" i="39" s="1"/>
  <c r="P30" i="39" s="1"/>
  <c r="M29" i="39"/>
  <c r="G29" i="39"/>
  <c r="H29" i="39" s="1"/>
  <c r="P29" i="39" s="1"/>
  <c r="M28" i="39"/>
  <c r="G28" i="39"/>
  <c r="H28" i="39" s="1"/>
  <c r="P28" i="39" s="1"/>
  <c r="M27" i="39"/>
  <c r="G27" i="39"/>
  <c r="H27" i="39" s="1"/>
  <c r="P27" i="39" s="1"/>
  <c r="M26" i="39"/>
  <c r="G26" i="39"/>
  <c r="K24" i="39"/>
  <c r="J24" i="39"/>
  <c r="I24" i="39"/>
  <c r="F24" i="39"/>
  <c r="D24" i="39"/>
  <c r="M23" i="39"/>
  <c r="G23" i="39"/>
  <c r="F23" i="39"/>
  <c r="M22" i="39"/>
  <c r="G22" i="39"/>
  <c r="F22" i="39"/>
  <c r="M21" i="39"/>
  <c r="G21" i="39"/>
  <c r="F21" i="39"/>
  <c r="M20" i="39"/>
  <c r="G20" i="39"/>
  <c r="H20" i="39" s="1"/>
  <c r="P20" i="39" s="1"/>
  <c r="F20" i="39"/>
  <c r="M19" i="39"/>
  <c r="G19" i="39"/>
  <c r="F19" i="39"/>
  <c r="M18" i="39"/>
  <c r="G18" i="39"/>
  <c r="F18" i="39"/>
  <c r="M17" i="39"/>
  <c r="G17" i="39"/>
  <c r="F17" i="39"/>
  <c r="M16" i="39"/>
  <c r="G16" i="39"/>
  <c r="H16" i="39" s="1"/>
  <c r="P16" i="39" s="1"/>
  <c r="F16" i="39"/>
  <c r="M15" i="39"/>
  <c r="G15" i="39"/>
  <c r="F15" i="39"/>
  <c r="M14" i="39"/>
  <c r="G14" i="39"/>
  <c r="F14" i="39"/>
  <c r="M13" i="39"/>
  <c r="G13" i="39"/>
  <c r="F13" i="39"/>
  <c r="M12" i="39"/>
  <c r="G12" i="39"/>
  <c r="H12" i="39" s="1"/>
  <c r="P12" i="39" s="1"/>
  <c r="F12" i="39"/>
  <c r="M11" i="39"/>
  <c r="G11" i="39"/>
  <c r="F11" i="39"/>
  <c r="M10" i="39"/>
  <c r="G10" i="39"/>
  <c r="F10" i="39"/>
  <c r="F78" i="36"/>
  <c r="G76" i="38"/>
  <c r="F76" i="38"/>
  <c r="H76" i="38" s="1"/>
  <c r="F75" i="38"/>
  <c r="F84" i="38" s="1"/>
  <c r="G71" i="38"/>
  <c r="P71" i="38" s="1"/>
  <c r="G72" i="38"/>
  <c r="P72" i="38" s="1"/>
  <c r="L104" i="38"/>
  <c r="K104" i="38"/>
  <c r="J104" i="38"/>
  <c r="I104" i="38"/>
  <c r="D104" i="38"/>
  <c r="M103" i="38"/>
  <c r="H103" i="38"/>
  <c r="M102" i="38"/>
  <c r="G102" i="38"/>
  <c r="M101" i="38"/>
  <c r="H101" i="38"/>
  <c r="F101" i="38"/>
  <c r="G100" i="38"/>
  <c r="M99" i="38"/>
  <c r="F99" i="38"/>
  <c r="H99" i="38" s="1"/>
  <c r="F98" i="38"/>
  <c r="H98" i="38" s="1"/>
  <c r="M97" i="38"/>
  <c r="H97" i="38"/>
  <c r="F96" i="38"/>
  <c r="H96" i="38" s="1"/>
  <c r="M95" i="38"/>
  <c r="F95" i="38"/>
  <c r="H95" i="38" s="1"/>
  <c r="M94" i="38"/>
  <c r="F94" i="38"/>
  <c r="H94" i="38" s="1"/>
  <c r="M93" i="38"/>
  <c r="F93" i="38"/>
  <c r="H93" i="38" s="1"/>
  <c r="L91" i="38"/>
  <c r="K91" i="38"/>
  <c r="J91" i="38"/>
  <c r="I91" i="38"/>
  <c r="G91" i="38"/>
  <c r="D91" i="38"/>
  <c r="M90" i="38"/>
  <c r="F90" i="38"/>
  <c r="H90" i="38" s="1"/>
  <c r="M89" i="38"/>
  <c r="F89" i="38"/>
  <c r="H89" i="38" s="1"/>
  <c r="M88" i="38"/>
  <c r="F88" i="38"/>
  <c r="H88" i="38" s="1"/>
  <c r="M87" i="38"/>
  <c r="F87" i="38"/>
  <c r="H87" i="38" s="1"/>
  <c r="M86" i="38"/>
  <c r="F86" i="38"/>
  <c r="H86" i="38" s="1"/>
  <c r="K84" i="38"/>
  <c r="J84" i="38"/>
  <c r="I84" i="38"/>
  <c r="G84" i="38"/>
  <c r="D84" i="38"/>
  <c r="M83" i="38"/>
  <c r="F83" i="38"/>
  <c r="H83" i="38" s="1"/>
  <c r="M82" i="38"/>
  <c r="F82" i="38"/>
  <c r="H82" i="38" s="1"/>
  <c r="M81" i="38"/>
  <c r="F81" i="38"/>
  <c r="H81" i="38" s="1"/>
  <c r="M80" i="38"/>
  <c r="F80" i="38"/>
  <c r="H80" i="38" s="1"/>
  <c r="M79" i="38"/>
  <c r="H79" i="38"/>
  <c r="F79" i="38"/>
  <c r="M78" i="38"/>
  <c r="F78" i="38"/>
  <c r="H78" i="38" s="1"/>
  <c r="M77" i="38"/>
  <c r="F77" i="38"/>
  <c r="H77" i="38" s="1"/>
  <c r="M76" i="38"/>
  <c r="M75" i="38"/>
  <c r="K73" i="38"/>
  <c r="J73" i="38"/>
  <c r="I73" i="38"/>
  <c r="D73" i="38"/>
  <c r="M72" i="38"/>
  <c r="F72" i="38"/>
  <c r="H72" i="38" s="1"/>
  <c r="M71" i="38"/>
  <c r="F71" i="38"/>
  <c r="M70" i="38"/>
  <c r="G70" i="38"/>
  <c r="P70" i="38" s="1"/>
  <c r="F70" i="38"/>
  <c r="H70" i="38" s="1"/>
  <c r="M69" i="38"/>
  <c r="G69" i="38"/>
  <c r="P69" i="38" s="1"/>
  <c r="M68" i="38"/>
  <c r="G68" i="38"/>
  <c r="F68" i="38"/>
  <c r="M67" i="38"/>
  <c r="G67" i="38"/>
  <c r="F67" i="38"/>
  <c r="M66" i="38"/>
  <c r="G66" i="38"/>
  <c r="F66" i="38"/>
  <c r="M65" i="38"/>
  <c r="G65" i="38"/>
  <c r="K63" i="38"/>
  <c r="J63" i="38"/>
  <c r="I63" i="38"/>
  <c r="M62" i="38"/>
  <c r="F62" i="38"/>
  <c r="H62" i="38" s="1"/>
  <c r="M61" i="38"/>
  <c r="G61" i="38"/>
  <c r="M60" i="38"/>
  <c r="G60" i="38"/>
  <c r="M59" i="38"/>
  <c r="D59" i="38"/>
  <c r="G59" i="38" s="1"/>
  <c r="P59" i="38" s="1"/>
  <c r="M58" i="38"/>
  <c r="D58" i="38"/>
  <c r="G58" i="38" s="1"/>
  <c r="M57" i="38"/>
  <c r="D57" i="38"/>
  <c r="G57" i="38" s="1"/>
  <c r="M56" i="38"/>
  <c r="D56" i="38"/>
  <c r="G56" i="38" s="1"/>
  <c r="M55" i="38"/>
  <c r="H55" i="38"/>
  <c r="D55" i="38"/>
  <c r="G55" i="38" s="1"/>
  <c r="P55" i="38" s="1"/>
  <c r="M54" i="38"/>
  <c r="D54" i="38"/>
  <c r="G54" i="38" s="1"/>
  <c r="M53" i="38"/>
  <c r="D53" i="38"/>
  <c r="G53" i="38" s="1"/>
  <c r="M52" i="38"/>
  <c r="D52" i="38"/>
  <c r="G52" i="38" s="1"/>
  <c r="M51" i="38"/>
  <c r="D51" i="38"/>
  <c r="G51" i="38" s="1"/>
  <c r="P51" i="38" s="1"/>
  <c r="M50" i="38"/>
  <c r="D50" i="38"/>
  <c r="G50" i="38" s="1"/>
  <c r="M49" i="38"/>
  <c r="D49" i="38"/>
  <c r="G49" i="38" s="1"/>
  <c r="M48" i="38"/>
  <c r="D48" i="38"/>
  <c r="G48" i="38" s="1"/>
  <c r="M47" i="38"/>
  <c r="H47" i="38"/>
  <c r="D47" i="38"/>
  <c r="G47" i="38" s="1"/>
  <c r="P47" i="38" s="1"/>
  <c r="M46" i="38"/>
  <c r="D46" i="38"/>
  <c r="G46" i="38" s="1"/>
  <c r="M45" i="38"/>
  <c r="D45" i="38"/>
  <c r="G45" i="38" s="1"/>
  <c r="M44" i="38"/>
  <c r="D44" i="38"/>
  <c r="G44" i="38" s="1"/>
  <c r="M43" i="38"/>
  <c r="D43" i="38"/>
  <c r="G43" i="38" s="1"/>
  <c r="P43" i="38" s="1"/>
  <c r="M42" i="38"/>
  <c r="D42" i="38"/>
  <c r="G42" i="38" s="1"/>
  <c r="M41" i="38"/>
  <c r="D41" i="38"/>
  <c r="G41" i="38" s="1"/>
  <c r="M40" i="38"/>
  <c r="D40" i="38"/>
  <c r="G40" i="38" s="1"/>
  <c r="M38" i="38"/>
  <c r="M37" i="38"/>
  <c r="D37" i="38"/>
  <c r="M36" i="38"/>
  <c r="D36" i="38"/>
  <c r="G36" i="38" s="1"/>
  <c r="M35" i="38"/>
  <c r="D35" i="38"/>
  <c r="G35" i="38" s="1"/>
  <c r="M34" i="38"/>
  <c r="M33" i="38"/>
  <c r="D33" i="38"/>
  <c r="K31" i="38"/>
  <c r="J31" i="38"/>
  <c r="I31" i="38"/>
  <c r="F31" i="38"/>
  <c r="D31" i="38"/>
  <c r="M30" i="38"/>
  <c r="G30" i="38"/>
  <c r="H30" i="38" s="1"/>
  <c r="M29" i="38"/>
  <c r="G29" i="38"/>
  <c r="M28" i="38"/>
  <c r="G28" i="38"/>
  <c r="H28" i="38" s="1"/>
  <c r="M27" i="38"/>
  <c r="G27" i="38"/>
  <c r="M26" i="38"/>
  <c r="G26" i="38"/>
  <c r="K24" i="38"/>
  <c r="J24" i="38"/>
  <c r="I24" i="38"/>
  <c r="D24" i="38"/>
  <c r="M23" i="38"/>
  <c r="G23" i="38"/>
  <c r="H23" i="38" s="1"/>
  <c r="F23" i="38"/>
  <c r="M22" i="38"/>
  <c r="G22" i="38"/>
  <c r="F22" i="38"/>
  <c r="M21" i="38"/>
  <c r="G21" i="38"/>
  <c r="F21" i="38"/>
  <c r="M20" i="38"/>
  <c r="G20" i="38"/>
  <c r="F20" i="38"/>
  <c r="M19" i="38"/>
  <c r="G19" i="38"/>
  <c r="H19" i="38" s="1"/>
  <c r="F19" i="38"/>
  <c r="M18" i="38"/>
  <c r="G18" i="38"/>
  <c r="F18" i="38"/>
  <c r="M17" i="38"/>
  <c r="G17" i="38"/>
  <c r="F17" i="38"/>
  <c r="M16" i="38"/>
  <c r="G16" i="38"/>
  <c r="F16" i="38"/>
  <c r="M15" i="38"/>
  <c r="G15" i="38"/>
  <c r="H15" i="38" s="1"/>
  <c r="F15" i="38"/>
  <c r="M14" i="38"/>
  <c r="G14" i="38"/>
  <c r="F14" i="38"/>
  <c r="M13" i="38"/>
  <c r="G13" i="38"/>
  <c r="F13" i="38"/>
  <c r="M12" i="38"/>
  <c r="G12" i="38"/>
  <c r="F12" i="38"/>
  <c r="M11" i="38"/>
  <c r="G11" i="38"/>
  <c r="H11" i="38" s="1"/>
  <c r="F11" i="38"/>
  <c r="M10" i="38"/>
  <c r="G10" i="38"/>
  <c r="F10" i="38"/>
  <c r="M34" i="37"/>
  <c r="F98" i="37"/>
  <c r="F95" i="37"/>
  <c r="H95" i="37" s="1"/>
  <c r="F94" i="37"/>
  <c r="H94" i="37" s="1"/>
  <c r="F93" i="37"/>
  <c r="H93" i="37" s="1"/>
  <c r="G53" i="37"/>
  <c r="P53" i="37" s="1"/>
  <c r="G51" i="37"/>
  <c r="P51" i="37" s="1"/>
  <c r="G47" i="37"/>
  <c r="P47" i="37" s="1"/>
  <c r="G46" i="37"/>
  <c r="P46" i="37" s="1"/>
  <c r="G45" i="37"/>
  <c r="P45" i="37" s="1"/>
  <c r="G44" i="37"/>
  <c r="P44" i="37" s="1"/>
  <c r="G43" i="37"/>
  <c r="P43" i="37" s="1"/>
  <c r="G41" i="37"/>
  <c r="P41" i="37" s="1"/>
  <c r="G39" i="37"/>
  <c r="P39" i="37" s="1"/>
  <c r="G34" i="37"/>
  <c r="P34" i="37" s="1"/>
  <c r="G33" i="37"/>
  <c r="P33" i="37" s="1"/>
  <c r="G28" i="37"/>
  <c r="H28" i="37" s="1"/>
  <c r="G26" i="37"/>
  <c r="G10" i="37"/>
  <c r="G14" i="37"/>
  <c r="G13" i="37"/>
  <c r="F13" i="37"/>
  <c r="G12" i="37"/>
  <c r="G11" i="37"/>
  <c r="F11" i="37"/>
  <c r="F10" i="37"/>
  <c r="L104" i="37"/>
  <c r="K104" i="37"/>
  <c r="J104" i="37"/>
  <c r="I104" i="37"/>
  <c r="D104" i="37"/>
  <c r="M103" i="37"/>
  <c r="H103" i="37"/>
  <c r="M102" i="37"/>
  <c r="G102" i="37"/>
  <c r="M101" i="37"/>
  <c r="F101" i="37"/>
  <c r="H101" i="37" s="1"/>
  <c r="G100" i="37"/>
  <c r="M99" i="37"/>
  <c r="F99" i="37"/>
  <c r="H99" i="37" s="1"/>
  <c r="H98" i="37"/>
  <c r="M97" i="37"/>
  <c r="H97" i="37"/>
  <c r="F96" i="37"/>
  <c r="H96" i="37" s="1"/>
  <c r="M95" i="37"/>
  <c r="M94" i="37"/>
  <c r="M93" i="37"/>
  <c r="L91" i="37"/>
  <c r="K91" i="37"/>
  <c r="J91" i="37"/>
  <c r="I91" i="37"/>
  <c r="G91" i="37"/>
  <c r="D91" i="37"/>
  <c r="M90" i="37"/>
  <c r="H90" i="37"/>
  <c r="F90" i="37"/>
  <c r="M89" i="37"/>
  <c r="F89" i="37"/>
  <c r="H89" i="37" s="1"/>
  <c r="M88" i="37"/>
  <c r="F88" i="37"/>
  <c r="H88" i="37" s="1"/>
  <c r="M87" i="37"/>
  <c r="F87" i="37"/>
  <c r="H87" i="37" s="1"/>
  <c r="M86" i="37"/>
  <c r="F86" i="37"/>
  <c r="H86" i="37" s="1"/>
  <c r="K84" i="37"/>
  <c r="J84" i="37"/>
  <c r="I84" i="37"/>
  <c r="D84" i="37"/>
  <c r="M83" i="37"/>
  <c r="F83" i="37"/>
  <c r="H83" i="37" s="1"/>
  <c r="M82" i="37"/>
  <c r="H82" i="37"/>
  <c r="F82" i="37"/>
  <c r="M81" i="37"/>
  <c r="F81" i="37"/>
  <c r="H81" i="37" s="1"/>
  <c r="M80" i="37"/>
  <c r="F80" i="37"/>
  <c r="H80" i="37" s="1"/>
  <c r="M79" i="37"/>
  <c r="F79" i="37"/>
  <c r="H79" i="37" s="1"/>
  <c r="M78" i="37"/>
  <c r="M84" i="37" s="1"/>
  <c r="F78" i="37"/>
  <c r="H78" i="37" s="1"/>
  <c r="M77" i="37"/>
  <c r="F77" i="37"/>
  <c r="H77" i="37" s="1"/>
  <c r="M76" i="37"/>
  <c r="G76" i="37"/>
  <c r="G84" i="37" s="1"/>
  <c r="F76" i="37"/>
  <c r="H76" i="37" s="1"/>
  <c r="M75" i="37"/>
  <c r="F75" i="37"/>
  <c r="K73" i="37"/>
  <c r="J73" i="37"/>
  <c r="I73" i="37"/>
  <c r="D73" i="37"/>
  <c r="M72" i="37"/>
  <c r="G72" i="37"/>
  <c r="P72" i="37" s="1"/>
  <c r="F72" i="37"/>
  <c r="M71" i="37"/>
  <c r="G71" i="37"/>
  <c r="P71" i="37" s="1"/>
  <c r="F71" i="37"/>
  <c r="H71" i="37" s="1"/>
  <c r="M70" i="37"/>
  <c r="G70" i="37"/>
  <c r="P70" i="37" s="1"/>
  <c r="F70" i="37"/>
  <c r="H70" i="37" s="1"/>
  <c r="M69" i="37"/>
  <c r="H69" i="37"/>
  <c r="G69" i="37"/>
  <c r="P69" i="37" s="1"/>
  <c r="M68" i="37"/>
  <c r="H68" i="37"/>
  <c r="G68" i="37"/>
  <c r="P68" i="37" s="1"/>
  <c r="F68" i="37"/>
  <c r="M67" i="37"/>
  <c r="H67" i="37"/>
  <c r="G67" i="37"/>
  <c r="P67" i="37" s="1"/>
  <c r="F67" i="37"/>
  <c r="M66" i="37"/>
  <c r="G66" i="37"/>
  <c r="P66" i="37" s="1"/>
  <c r="F66" i="37"/>
  <c r="M65" i="37"/>
  <c r="H65" i="37"/>
  <c r="G65" i="37"/>
  <c r="K63" i="37"/>
  <c r="J63" i="37"/>
  <c r="I63" i="37"/>
  <c r="M62" i="37"/>
  <c r="F62" i="37"/>
  <c r="F63" i="37" s="1"/>
  <c r="M61" i="37"/>
  <c r="G61" i="37"/>
  <c r="M60" i="37"/>
  <c r="G60" i="37"/>
  <c r="M59" i="37"/>
  <c r="D59" i="37"/>
  <c r="G59" i="37" s="1"/>
  <c r="M58" i="37"/>
  <c r="D58" i="37"/>
  <c r="G58" i="37" s="1"/>
  <c r="M57" i="37"/>
  <c r="D57" i="37"/>
  <c r="G57" i="37" s="1"/>
  <c r="M56" i="37"/>
  <c r="D56" i="37"/>
  <c r="G56" i="37" s="1"/>
  <c r="M55" i="37"/>
  <c r="D55" i="37"/>
  <c r="G55" i="37" s="1"/>
  <c r="M54" i="37"/>
  <c r="D54" i="37"/>
  <c r="G54" i="37" s="1"/>
  <c r="M53" i="37"/>
  <c r="D53" i="37"/>
  <c r="M52" i="37"/>
  <c r="D52" i="37"/>
  <c r="G52" i="37" s="1"/>
  <c r="P52" i="37" s="1"/>
  <c r="M51" i="37"/>
  <c r="D51" i="37"/>
  <c r="M50" i="37"/>
  <c r="D50" i="37"/>
  <c r="G50" i="37" s="1"/>
  <c r="P50" i="37" s="1"/>
  <c r="M49" i="37"/>
  <c r="D49" i="37"/>
  <c r="M48" i="37"/>
  <c r="D48" i="37"/>
  <c r="G48" i="37" s="1"/>
  <c r="P48" i="37" s="1"/>
  <c r="M47" i="37"/>
  <c r="D47" i="37"/>
  <c r="M46" i="37"/>
  <c r="D46" i="37"/>
  <c r="M45" i="37"/>
  <c r="D45" i="37"/>
  <c r="M44" i="37"/>
  <c r="D44" i="37"/>
  <c r="M43" i="37"/>
  <c r="D43" i="37"/>
  <c r="M42" i="37"/>
  <c r="D42" i="37"/>
  <c r="M41" i="37"/>
  <c r="D41" i="37"/>
  <c r="M40" i="37"/>
  <c r="D40" i="37"/>
  <c r="M38" i="37"/>
  <c r="M37" i="37"/>
  <c r="D37" i="37"/>
  <c r="M36" i="37"/>
  <c r="D36" i="37"/>
  <c r="G36" i="37" s="1"/>
  <c r="M35" i="37"/>
  <c r="D35" i="37"/>
  <c r="G35" i="37" s="1"/>
  <c r="P35" i="37" s="1"/>
  <c r="M33" i="37"/>
  <c r="D33" i="37"/>
  <c r="K31" i="37"/>
  <c r="J31" i="37"/>
  <c r="I31" i="37"/>
  <c r="F31" i="37"/>
  <c r="M30" i="37"/>
  <c r="G30" i="37"/>
  <c r="H30" i="37" s="1"/>
  <c r="M29" i="37"/>
  <c r="G29" i="37"/>
  <c r="H29" i="37" s="1"/>
  <c r="M28" i="37"/>
  <c r="M27" i="37"/>
  <c r="G27" i="37"/>
  <c r="H27" i="37" s="1"/>
  <c r="M26" i="37"/>
  <c r="K24" i="37"/>
  <c r="J24" i="37"/>
  <c r="I24" i="37"/>
  <c r="M23" i="37"/>
  <c r="G23" i="37"/>
  <c r="F23" i="37"/>
  <c r="M22" i="37"/>
  <c r="G22" i="37"/>
  <c r="H22" i="37" s="1"/>
  <c r="F22" i="37"/>
  <c r="M21" i="37"/>
  <c r="G21" i="37"/>
  <c r="F21" i="37"/>
  <c r="M20" i="37"/>
  <c r="G20" i="37"/>
  <c r="F20" i="37"/>
  <c r="M19" i="37"/>
  <c r="G19" i="37"/>
  <c r="F19" i="37"/>
  <c r="M18" i="37"/>
  <c r="G18" i="37"/>
  <c r="H18" i="37" s="1"/>
  <c r="F18" i="37"/>
  <c r="M17" i="37"/>
  <c r="G17" i="37"/>
  <c r="F17" i="37"/>
  <c r="M16" i="37"/>
  <c r="G16" i="37"/>
  <c r="F16" i="37"/>
  <c r="M15" i="37"/>
  <c r="G15" i="37"/>
  <c r="F15" i="37"/>
  <c r="M14" i="37"/>
  <c r="F14" i="37"/>
  <c r="M13" i="37"/>
  <c r="M12" i="37"/>
  <c r="F12" i="37"/>
  <c r="H12" i="37" s="1"/>
  <c r="M11" i="37"/>
  <c r="M10" i="37"/>
  <c r="M94" i="36"/>
  <c r="M27" i="36"/>
  <c r="M29" i="36"/>
  <c r="G30" i="36"/>
  <c r="H30" i="36" s="1"/>
  <c r="M39" i="35"/>
  <c r="M87" i="35"/>
  <c r="G23" i="36"/>
  <c r="G22" i="36"/>
  <c r="G20" i="36"/>
  <c r="G19" i="36"/>
  <c r="G18" i="36"/>
  <c r="G17" i="36"/>
  <c r="G16" i="36"/>
  <c r="G15" i="36"/>
  <c r="G14" i="36"/>
  <c r="G13" i="36"/>
  <c r="G12" i="36"/>
  <c r="G10" i="36"/>
  <c r="H10" i="36" s="1"/>
  <c r="F23" i="36"/>
  <c r="F22" i="36"/>
  <c r="H22" i="36" s="1"/>
  <c r="F21" i="36"/>
  <c r="F20" i="36"/>
  <c r="H20" i="36" s="1"/>
  <c r="F19" i="36"/>
  <c r="F18" i="36"/>
  <c r="F17" i="36"/>
  <c r="H17" i="36" s="1"/>
  <c r="F16" i="36"/>
  <c r="H16" i="36" s="1"/>
  <c r="F15" i="36"/>
  <c r="F13" i="36"/>
  <c r="H13" i="36" s="1"/>
  <c r="F12" i="36"/>
  <c r="F11" i="36"/>
  <c r="F10" i="36"/>
  <c r="L104" i="36"/>
  <c r="K104" i="36"/>
  <c r="J104" i="36"/>
  <c r="I104" i="36"/>
  <c r="D104" i="36"/>
  <c r="M103" i="36"/>
  <c r="H103" i="36"/>
  <c r="M102" i="36"/>
  <c r="G102" i="36"/>
  <c r="M101" i="36"/>
  <c r="H101" i="36"/>
  <c r="F101" i="36"/>
  <c r="G100" i="36"/>
  <c r="M99" i="36"/>
  <c r="F99" i="36"/>
  <c r="H99" i="36" s="1"/>
  <c r="H98" i="36"/>
  <c r="M97" i="36"/>
  <c r="H97" i="36"/>
  <c r="F96" i="36"/>
  <c r="H96" i="36" s="1"/>
  <c r="M95" i="36"/>
  <c r="F95" i="36"/>
  <c r="H95" i="36" s="1"/>
  <c r="H94" i="36"/>
  <c r="M93" i="36"/>
  <c r="H93" i="36"/>
  <c r="L91" i="36"/>
  <c r="K91" i="36"/>
  <c r="J91" i="36"/>
  <c r="I91" i="36"/>
  <c r="G91" i="36"/>
  <c r="D91" i="36"/>
  <c r="M90" i="36"/>
  <c r="F90" i="36"/>
  <c r="H90" i="36" s="1"/>
  <c r="M89" i="36"/>
  <c r="F89" i="36"/>
  <c r="H89" i="36" s="1"/>
  <c r="M88" i="36"/>
  <c r="F88" i="36"/>
  <c r="H88" i="36" s="1"/>
  <c r="M87" i="36"/>
  <c r="F87" i="36"/>
  <c r="H87" i="36" s="1"/>
  <c r="M86" i="36"/>
  <c r="F86" i="36"/>
  <c r="H86" i="36" s="1"/>
  <c r="K84" i="36"/>
  <c r="J84" i="36"/>
  <c r="I84" i="36"/>
  <c r="D84" i="36"/>
  <c r="M83" i="36"/>
  <c r="F83" i="36"/>
  <c r="H83" i="36" s="1"/>
  <c r="P83" i="36" s="1"/>
  <c r="M82" i="36"/>
  <c r="F82" i="36"/>
  <c r="H82" i="36" s="1"/>
  <c r="P82" i="36" s="1"/>
  <c r="M81" i="36"/>
  <c r="H81" i="36"/>
  <c r="P81" i="36" s="1"/>
  <c r="F81" i="36"/>
  <c r="M80" i="36"/>
  <c r="F80" i="36"/>
  <c r="H80" i="36" s="1"/>
  <c r="P80" i="36" s="1"/>
  <c r="M79" i="36"/>
  <c r="F79" i="36"/>
  <c r="H79" i="36" s="1"/>
  <c r="P79" i="36" s="1"/>
  <c r="M78" i="36"/>
  <c r="H78" i="36"/>
  <c r="P78" i="36" s="1"/>
  <c r="M77" i="36"/>
  <c r="M84" i="36" s="1"/>
  <c r="F77" i="36"/>
  <c r="H77" i="36" s="1"/>
  <c r="P77" i="36" s="1"/>
  <c r="M76" i="36"/>
  <c r="G76" i="36"/>
  <c r="G84" i="36" s="1"/>
  <c r="F76" i="36"/>
  <c r="M75" i="36"/>
  <c r="F75" i="36"/>
  <c r="K73" i="36"/>
  <c r="J73" i="36"/>
  <c r="I73" i="36"/>
  <c r="D73" i="36"/>
  <c r="M72" i="36"/>
  <c r="G72" i="36"/>
  <c r="P72" i="36" s="1"/>
  <c r="F72" i="36"/>
  <c r="H72" i="36" s="1"/>
  <c r="M71" i="36"/>
  <c r="G71" i="36"/>
  <c r="P71" i="36" s="1"/>
  <c r="F71" i="36"/>
  <c r="M70" i="36"/>
  <c r="G70" i="36"/>
  <c r="P70" i="36" s="1"/>
  <c r="F70" i="36"/>
  <c r="H70" i="36" s="1"/>
  <c r="M69" i="36"/>
  <c r="G69" i="36"/>
  <c r="M68" i="36"/>
  <c r="G68" i="36"/>
  <c r="P68" i="36" s="1"/>
  <c r="F68" i="36"/>
  <c r="M67" i="36"/>
  <c r="G67" i="36"/>
  <c r="P67" i="36" s="1"/>
  <c r="F67" i="36"/>
  <c r="H67" i="36" s="1"/>
  <c r="M66" i="36"/>
  <c r="G66" i="36"/>
  <c r="P66" i="36" s="1"/>
  <c r="F66" i="36"/>
  <c r="H66" i="36" s="1"/>
  <c r="M65" i="36"/>
  <c r="G65" i="36"/>
  <c r="K63" i="36"/>
  <c r="J63" i="36"/>
  <c r="I63" i="36"/>
  <c r="M62" i="36"/>
  <c r="F62" i="36"/>
  <c r="H62" i="36" s="1"/>
  <c r="M61" i="36"/>
  <c r="H61" i="36"/>
  <c r="G61" i="36"/>
  <c r="P61" i="36" s="1"/>
  <c r="M60" i="36"/>
  <c r="G60" i="36"/>
  <c r="M59" i="36"/>
  <c r="D59" i="36"/>
  <c r="G59" i="36" s="1"/>
  <c r="M58" i="36"/>
  <c r="D58" i="36"/>
  <c r="G58" i="36" s="1"/>
  <c r="M57" i="36"/>
  <c r="D57" i="36"/>
  <c r="G57" i="36" s="1"/>
  <c r="M56" i="36"/>
  <c r="D56" i="36"/>
  <c r="G56" i="36" s="1"/>
  <c r="M55" i="36"/>
  <c r="D55" i="36"/>
  <c r="G55" i="36" s="1"/>
  <c r="M54" i="36"/>
  <c r="D54" i="36"/>
  <c r="G54" i="36" s="1"/>
  <c r="M53" i="36"/>
  <c r="D53" i="36"/>
  <c r="G53" i="36" s="1"/>
  <c r="M52" i="36"/>
  <c r="D52" i="36"/>
  <c r="G52" i="36" s="1"/>
  <c r="M51" i="36"/>
  <c r="D51" i="36"/>
  <c r="G51" i="36" s="1"/>
  <c r="M50" i="36"/>
  <c r="D50" i="36"/>
  <c r="G50" i="36" s="1"/>
  <c r="M49" i="36"/>
  <c r="D49" i="36"/>
  <c r="G49" i="36" s="1"/>
  <c r="M48" i="36"/>
  <c r="D48" i="36"/>
  <c r="G48" i="36" s="1"/>
  <c r="M47" i="36"/>
  <c r="G47" i="36"/>
  <c r="D47" i="36"/>
  <c r="M46" i="36"/>
  <c r="D46" i="36"/>
  <c r="G46" i="36" s="1"/>
  <c r="M45" i="36"/>
  <c r="D45" i="36"/>
  <c r="G45" i="36" s="1"/>
  <c r="M44" i="36"/>
  <c r="D44" i="36"/>
  <c r="G44" i="36" s="1"/>
  <c r="M43" i="36"/>
  <c r="D43" i="36"/>
  <c r="G43" i="36" s="1"/>
  <c r="M42" i="36"/>
  <c r="D42" i="36"/>
  <c r="G42" i="36" s="1"/>
  <c r="M41" i="36"/>
  <c r="D41" i="36"/>
  <c r="G41" i="36" s="1"/>
  <c r="M40" i="36"/>
  <c r="D40" i="36"/>
  <c r="G40" i="36" s="1"/>
  <c r="M38" i="36"/>
  <c r="M37" i="36"/>
  <c r="D37" i="36"/>
  <c r="G38" i="36" s="1"/>
  <c r="P38" i="36" s="1"/>
  <c r="M36" i="36"/>
  <c r="D36" i="36"/>
  <c r="G36" i="36" s="1"/>
  <c r="M35" i="36"/>
  <c r="D35" i="36"/>
  <c r="G35" i="36" s="1"/>
  <c r="P35" i="36" s="1"/>
  <c r="M33" i="36"/>
  <c r="D33" i="36"/>
  <c r="G33" i="36" s="1"/>
  <c r="P33" i="36" s="1"/>
  <c r="K31" i="36"/>
  <c r="J31" i="36"/>
  <c r="I31" i="36"/>
  <c r="F31" i="36"/>
  <c r="D31" i="36"/>
  <c r="M30" i="36"/>
  <c r="G29" i="36"/>
  <c r="H29" i="36" s="1"/>
  <c r="M28" i="36"/>
  <c r="G28" i="36"/>
  <c r="H28" i="36" s="1"/>
  <c r="G27" i="36"/>
  <c r="H27" i="36" s="1"/>
  <c r="M26" i="36"/>
  <c r="G26" i="36"/>
  <c r="K24" i="36"/>
  <c r="J24" i="36"/>
  <c r="I24" i="36"/>
  <c r="D24" i="36"/>
  <c r="M23" i="36"/>
  <c r="M22" i="36"/>
  <c r="M21" i="36"/>
  <c r="G21" i="36"/>
  <c r="M20" i="36"/>
  <c r="M19" i="36"/>
  <c r="M18" i="36"/>
  <c r="M17" i="36"/>
  <c r="M16" i="36"/>
  <c r="M15" i="36"/>
  <c r="M14" i="36"/>
  <c r="F14" i="36"/>
  <c r="M13" i="36"/>
  <c r="M12" i="36"/>
  <c r="M11" i="36"/>
  <c r="G11" i="36"/>
  <c r="M10" i="36"/>
  <c r="H43" i="36" l="1"/>
  <c r="P43" i="36"/>
  <c r="H59" i="36"/>
  <c r="P59" i="36"/>
  <c r="H12" i="36"/>
  <c r="H58" i="36"/>
  <c r="P58" i="36"/>
  <c r="H102" i="36"/>
  <c r="P102" i="36"/>
  <c r="H15" i="37"/>
  <c r="H19" i="37"/>
  <c r="H45" i="38"/>
  <c r="P45" i="38"/>
  <c r="H62" i="40"/>
  <c r="F63" i="40"/>
  <c r="H42" i="36"/>
  <c r="P42" i="36"/>
  <c r="P100" i="37"/>
  <c r="H100" i="37"/>
  <c r="H17" i="38"/>
  <c r="H40" i="40"/>
  <c r="P40" i="40"/>
  <c r="H51" i="40"/>
  <c r="H35" i="36"/>
  <c r="H65" i="36"/>
  <c r="P65" i="36"/>
  <c r="H100" i="39"/>
  <c r="P100" i="39"/>
  <c r="P104" i="39" s="1"/>
  <c r="H46" i="40"/>
  <c r="P46" i="40"/>
  <c r="P100" i="40"/>
  <c r="P104" i="40" s="1"/>
  <c r="H100" i="40"/>
  <c r="H48" i="36"/>
  <c r="P48" i="36"/>
  <c r="H54" i="36"/>
  <c r="P54" i="36"/>
  <c r="F24" i="38"/>
  <c r="G24" i="40"/>
  <c r="P10" i="40"/>
  <c r="H14" i="40"/>
  <c r="P14" i="40"/>
  <c r="H18" i="40"/>
  <c r="P18" i="40"/>
  <c r="H22" i="40"/>
  <c r="P22" i="40"/>
  <c r="H36" i="36"/>
  <c r="P36" i="36"/>
  <c r="H55" i="36"/>
  <c r="P55" i="36"/>
  <c r="M73" i="38"/>
  <c r="H44" i="38"/>
  <c r="P44" i="38"/>
  <c r="H36" i="39"/>
  <c r="P36" i="39"/>
  <c r="P63" i="39" s="1"/>
  <c r="H55" i="39"/>
  <c r="P55" i="39"/>
  <c r="H61" i="40"/>
  <c r="P61" i="40"/>
  <c r="H23" i="37"/>
  <c r="H50" i="38"/>
  <c r="P50" i="38"/>
  <c r="H56" i="40"/>
  <c r="P56" i="40"/>
  <c r="H67" i="40"/>
  <c r="P67" i="40"/>
  <c r="H45" i="40"/>
  <c r="P45" i="40"/>
  <c r="H47" i="36"/>
  <c r="P47" i="36"/>
  <c r="H53" i="36"/>
  <c r="P53" i="36"/>
  <c r="H69" i="36"/>
  <c r="P69" i="36"/>
  <c r="H13" i="38"/>
  <c r="H21" i="38"/>
  <c r="G42" i="37"/>
  <c r="P42" i="37" s="1"/>
  <c r="H54" i="37"/>
  <c r="P54" i="37"/>
  <c r="H60" i="37"/>
  <c r="P60" i="37"/>
  <c r="F73" i="37"/>
  <c r="H66" i="37"/>
  <c r="H73" i="37" s="1"/>
  <c r="P47" i="39"/>
  <c r="H47" i="39"/>
  <c r="H59" i="39"/>
  <c r="P59" i="39"/>
  <c r="H35" i="37"/>
  <c r="F73" i="38"/>
  <c r="F73" i="39"/>
  <c r="H43" i="37"/>
  <c r="H49" i="37"/>
  <c r="G49" i="37"/>
  <c r="P49" i="37" s="1"/>
  <c r="H55" i="37"/>
  <c r="P55" i="37"/>
  <c r="H61" i="37"/>
  <c r="P61" i="37"/>
  <c r="H60" i="38"/>
  <c r="P60" i="38"/>
  <c r="H66" i="38"/>
  <c r="P66" i="38"/>
  <c r="G54" i="39"/>
  <c r="P54" i="39" s="1"/>
  <c r="H66" i="39"/>
  <c r="P66" i="39"/>
  <c r="H51" i="39"/>
  <c r="P51" i="39"/>
  <c r="H51" i="36"/>
  <c r="P51" i="36"/>
  <c r="P36" i="37"/>
  <c r="H36" i="37"/>
  <c r="G31" i="37"/>
  <c r="H49" i="38"/>
  <c r="P49" i="38"/>
  <c r="H71" i="38"/>
  <c r="H102" i="38"/>
  <c r="P102" i="38"/>
  <c r="H44" i="39"/>
  <c r="P44" i="39"/>
  <c r="M31" i="40"/>
  <c r="H41" i="40"/>
  <c r="P41" i="40"/>
  <c r="H14" i="36"/>
  <c r="H49" i="36"/>
  <c r="P49" i="36"/>
  <c r="M73" i="37"/>
  <c r="M104" i="37"/>
  <c r="H40" i="38"/>
  <c r="P40" i="38"/>
  <c r="H56" i="38"/>
  <c r="P56" i="38"/>
  <c r="H13" i="39"/>
  <c r="P13" i="39" s="1"/>
  <c r="H17" i="39"/>
  <c r="P17" i="39" s="1"/>
  <c r="H21" i="39"/>
  <c r="P21" i="39" s="1"/>
  <c r="H50" i="39"/>
  <c r="H67" i="39"/>
  <c r="P67" i="39"/>
  <c r="F84" i="39"/>
  <c r="H28" i="40"/>
  <c r="P28" i="40"/>
  <c r="M63" i="40"/>
  <c r="H52" i="40"/>
  <c r="P52" i="40"/>
  <c r="H44" i="36"/>
  <c r="P44" i="36"/>
  <c r="H60" i="36"/>
  <c r="P60" i="36"/>
  <c r="F84" i="36"/>
  <c r="H56" i="37"/>
  <c r="P56" i="37"/>
  <c r="G24" i="38"/>
  <c r="H14" i="38"/>
  <c r="H18" i="38"/>
  <c r="H22" i="38"/>
  <c r="H46" i="38"/>
  <c r="P46" i="38"/>
  <c r="H51" i="38"/>
  <c r="H67" i="38"/>
  <c r="P67" i="38"/>
  <c r="G104" i="38"/>
  <c r="H45" i="39"/>
  <c r="P45" i="39"/>
  <c r="H102" i="39"/>
  <c r="P102" i="39"/>
  <c r="G37" i="39"/>
  <c r="P37" i="39" s="1"/>
  <c r="H11" i="40"/>
  <c r="P11" i="40"/>
  <c r="H15" i="40"/>
  <c r="P15" i="40"/>
  <c r="H19" i="40"/>
  <c r="P19" i="40"/>
  <c r="H23" i="40"/>
  <c r="P23" i="40"/>
  <c r="H42" i="40"/>
  <c r="P42" i="40"/>
  <c r="H47" i="40"/>
  <c r="H58" i="40"/>
  <c r="P58" i="40"/>
  <c r="H68" i="40"/>
  <c r="P68" i="40"/>
  <c r="G104" i="40"/>
  <c r="H50" i="36"/>
  <c r="P50" i="36"/>
  <c r="M24" i="37"/>
  <c r="H16" i="37"/>
  <c r="H20" i="37"/>
  <c r="H39" i="37"/>
  <c r="H62" i="37"/>
  <c r="F84" i="37"/>
  <c r="G37" i="37"/>
  <c r="H41" i="38"/>
  <c r="P41" i="38"/>
  <c r="H57" i="38"/>
  <c r="P57" i="38"/>
  <c r="M91" i="38"/>
  <c r="H57" i="39"/>
  <c r="F63" i="39"/>
  <c r="H35" i="40"/>
  <c r="P35" i="40"/>
  <c r="H53" i="40"/>
  <c r="P53" i="40"/>
  <c r="M91" i="40"/>
  <c r="H45" i="36"/>
  <c r="P45" i="36"/>
  <c r="H71" i="36"/>
  <c r="H45" i="37"/>
  <c r="H57" i="37"/>
  <c r="P57" i="37"/>
  <c r="H102" i="37"/>
  <c r="P102" i="37"/>
  <c r="G38" i="37"/>
  <c r="P38" i="37" s="1"/>
  <c r="H52" i="38"/>
  <c r="P52" i="38"/>
  <c r="F63" i="38"/>
  <c r="G24" i="39"/>
  <c r="H14" i="39"/>
  <c r="P14" i="39" s="1"/>
  <c r="H18" i="39"/>
  <c r="P18" i="39" s="1"/>
  <c r="H22" i="39"/>
  <c r="P22" i="39" s="1"/>
  <c r="H68" i="39"/>
  <c r="P68" i="39"/>
  <c r="G104" i="39"/>
  <c r="G56" i="39"/>
  <c r="P56" i="39" s="1"/>
  <c r="H48" i="40"/>
  <c r="P48" i="40"/>
  <c r="H48" i="38"/>
  <c r="P48" i="38"/>
  <c r="H11" i="39"/>
  <c r="P11" i="39" s="1"/>
  <c r="H15" i="39"/>
  <c r="P15" i="39" s="1"/>
  <c r="H19" i="39"/>
  <c r="P19" i="39" s="1"/>
  <c r="H23" i="39"/>
  <c r="P23" i="39" s="1"/>
  <c r="H42" i="39"/>
  <c r="P42" i="39"/>
  <c r="H53" i="39"/>
  <c r="H65" i="39"/>
  <c r="P65" i="39"/>
  <c r="H69" i="39"/>
  <c r="H44" i="40"/>
  <c r="P44" i="40"/>
  <c r="H60" i="40"/>
  <c r="P60" i="40"/>
  <c r="F73" i="40"/>
  <c r="H61" i="38"/>
  <c r="P61" i="38"/>
  <c r="M24" i="40"/>
  <c r="H57" i="40"/>
  <c r="P57" i="40"/>
  <c r="H40" i="36"/>
  <c r="P40" i="36"/>
  <c r="H56" i="36"/>
  <c r="P56" i="36"/>
  <c r="H42" i="38"/>
  <c r="P42" i="38"/>
  <c r="H58" i="38"/>
  <c r="P58" i="38"/>
  <c r="H68" i="38"/>
  <c r="P68" i="38"/>
  <c r="M24" i="39"/>
  <c r="M31" i="39"/>
  <c r="M91" i="39"/>
  <c r="G41" i="39"/>
  <c r="P41" i="39" s="1"/>
  <c r="H12" i="40"/>
  <c r="P12" i="40"/>
  <c r="H16" i="40"/>
  <c r="P16" i="40"/>
  <c r="H20" i="40"/>
  <c r="P20" i="40"/>
  <c r="H30" i="40"/>
  <c r="P30" i="40"/>
  <c r="P31" i="40" s="1"/>
  <c r="H36" i="40"/>
  <c r="P36" i="40"/>
  <c r="H54" i="40"/>
  <c r="P54" i="40"/>
  <c r="H65" i="40"/>
  <c r="P65" i="40"/>
  <c r="H46" i="36"/>
  <c r="P46" i="36"/>
  <c r="H21" i="36"/>
  <c r="H17" i="37"/>
  <c r="H21" i="37"/>
  <c r="H40" i="37"/>
  <c r="H58" i="37"/>
  <c r="P58" i="37"/>
  <c r="H13" i="37"/>
  <c r="G40" i="37"/>
  <c r="P40" i="37" s="1"/>
  <c r="H35" i="38"/>
  <c r="P35" i="38"/>
  <c r="H53" i="38"/>
  <c r="P53" i="38"/>
  <c r="M63" i="39"/>
  <c r="H49" i="40"/>
  <c r="P49" i="40"/>
  <c r="M73" i="40"/>
  <c r="H41" i="36"/>
  <c r="P41" i="36"/>
  <c r="H57" i="36"/>
  <c r="P57" i="36"/>
  <c r="H100" i="36"/>
  <c r="H104" i="36" s="1"/>
  <c r="P100" i="36"/>
  <c r="D63" i="37"/>
  <c r="H14" i="37"/>
  <c r="G34" i="36"/>
  <c r="H52" i="36"/>
  <c r="P52" i="36"/>
  <c r="H68" i="36"/>
  <c r="H73" i="36" s="1"/>
  <c r="H41" i="37"/>
  <c r="H53" i="37"/>
  <c r="H59" i="37"/>
  <c r="P59" i="37"/>
  <c r="G73" i="37"/>
  <c r="P65" i="37"/>
  <c r="P73" i="37" s="1"/>
  <c r="H72" i="37"/>
  <c r="M91" i="37"/>
  <c r="G104" i="37"/>
  <c r="H12" i="38"/>
  <c r="H16" i="38"/>
  <c r="H20" i="38"/>
  <c r="H36" i="38"/>
  <c r="P36" i="38"/>
  <c r="H43" i="38"/>
  <c r="H54" i="38"/>
  <c r="P54" i="38"/>
  <c r="H59" i="38"/>
  <c r="H65" i="38"/>
  <c r="H73" i="38" s="1"/>
  <c r="P65" i="38"/>
  <c r="H69" i="38"/>
  <c r="H100" i="38"/>
  <c r="P100" i="38"/>
  <c r="P104" i="38" s="1"/>
  <c r="H35" i="39"/>
  <c r="M73" i="39"/>
  <c r="H13" i="40"/>
  <c r="P13" i="40"/>
  <c r="H17" i="40"/>
  <c r="P17" i="40"/>
  <c r="H21" i="40"/>
  <c r="P21" i="40"/>
  <c r="H50" i="40"/>
  <c r="P50" i="40"/>
  <c r="H55" i="40"/>
  <c r="H66" i="40"/>
  <c r="H73" i="40" s="1"/>
  <c r="P66" i="40"/>
  <c r="H102" i="40"/>
  <c r="H63" i="41"/>
  <c r="G73" i="40"/>
  <c r="H91" i="40"/>
  <c r="G31" i="40"/>
  <c r="H26" i="40"/>
  <c r="G38" i="40"/>
  <c r="P38" i="40" s="1"/>
  <c r="G37" i="40"/>
  <c r="G39" i="40"/>
  <c r="M84" i="40"/>
  <c r="H10" i="40"/>
  <c r="H24" i="40" s="1"/>
  <c r="D63" i="40"/>
  <c r="F38" i="40"/>
  <c r="F91" i="40"/>
  <c r="M104" i="40"/>
  <c r="F104" i="40"/>
  <c r="G34" i="40"/>
  <c r="G33" i="40"/>
  <c r="P33" i="40" s="1"/>
  <c r="H75" i="40"/>
  <c r="H84" i="40" s="1"/>
  <c r="H58" i="39"/>
  <c r="H52" i="39"/>
  <c r="H49" i="39"/>
  <c r="H48" i="39"/>
  <c r="H46" i="39"/>
  <c r="H40" i="39"/>
  <c r="G73" i="39"/>
  <c r="H91" i="39"/>
  <c r="G31" i="39"/>
  <c r="H26" i="39"/>
  <c r="G38" i="39"/>
  <c r="P38" i="39" s="1"/>
  <c r="H37" i="39"/>
  <c r="H39" i="39"/>
  <c r="H73" i="39"/>
  <c r="M84" i="39"/>
  <c r="H10" i="39"/>
  <c r="D63" i="39"/>
  <c r="F38" i="39"/>
  <c r="F91" i="39"/>
  <c r="M104" i="39"/>
  <c r="F104" i="39"/>
  <c r="H34" i="39"/>
  <c r="H75" i="39"/>
  <c r="M63" i="38"/>
  <c r="M31" i="38"/>
  <c r="M24" i="38"/>
  <c r="G73" i="38"/>
  <c r="H91" i="38"/>
  <c r="H104" i="38" s="1"/>
  <c r="G31" i="38"/>
  <c r="H26" i="38"/>
  <c r="H31" i="38" s="1"/>
  <c r="G38" i="38"/>
  <c r="P38" i="38" s="1"/>
  <c r="G37" i="38"/>
  <c r="G39" i="38"/>
  <c r="M84" i="38"/>
  <c r="H10" i="38"/>
  <c r="D63" i="38"/>
  <c r="F38" i="38"/>
  <c r="F91" i="38"/>
  <c r="F104" i="38" s="1"/>
  <c r="M104" i="38"/>
  <c r="G34" i="38"/>
  <c r="G33" i="38"/>
  <c r="P33" i="38" s="1"/>
  <c r="H75" i="38"/>
  <c r="H84" i="38" s="1"/>
  <c r="M63" i="37"/>
  <c r="H52" i="37"/>
  <c r="H51" i="37"/>
  <c r="H50" i="37"/>
  <c r="H48" i="37"/>
  <c r="H47" i="37"/>
  <c r="H46" i="37"/>
  <c r="H44" i="37"/>
  <c r="M31" i="37"/>
  <c r="G24" i="37"/>
  <c r="H11" i="37"/>
  <c r="F24" i="37"/>
  <c r="H91" i="37"/>
  <c r="H10" i="37"/>
  <c r="H34" i="37"/>
  <c r="H75" i="37"/>
  <c r="H84" i="37" s="1"/>
  <c r="F91" i="37"/>
  <c r="F104" i="37" s="1"/>
  <c r="H26" i="37"/>
  <c r="H31" i="37" s="1"/>
  <c r="F38" i="37"/>
  <c r="H38" i="37" s="1"/>
  <c r="M91" i="36"/>
  <c r="M63" i="36"/>
  <c r="M31" i="36"/>
  <c r="M24" i="36"/>
  <c r="H18" i="36"/>
  <c r="H33" i="36"/>
  <c r="F73" i="36"/>
  <c r="G24" i="36"/>
  <c r="G31" i="36"/>
  <c r="H26" i="36"/>
  <c r="H31" i="36" s="1"/>
  <c r="H75" i="36"/>
  <c r="P75" i="36" s="1"/>
  <c r="H76" i="36"/>
  <c r="P76" i="36" s="1"/>
  <c r="D63" i="36"/>
  <c r="M73" i="36"/>
  <c r="H91" i="36"/>
  <c r="H11" i="36"/>
  <c r="H15" i="36"/>
  <c r="H19" i="36"/>
  <c r="H23" i="36"/>
  <c r="F24" i="36"/>
  <c r="F91" i="36"/>
  <c r="F104" i="36" s="1"/>
  <c r="M104" i="36"/>
  <c r="G104" i="36"/>
  <c r="F38" i="36"/>
  <c r="H38" i="36" s="1"/>
  <c r="G39" i="36"/>
  <c r="F63" i="36"/>
  <c r="G73" i="36"/>
  <c r="G37" i="36"/>
  <c r="H24" i="39" l="1"/>
  <c r="P10" i="39"/>
  <c r="P24" i="39" s="1"/>
  <c r="H56" i="39"/>
  <c r="H42" i="37"/>
  <c r="H37" i="40"/>
  <c r="P37" i="40"/>
  <c r="P73" i="38"/>
  <c r="H37" i="36"/>
  <c r="P37" i="36"/>
  <c r="H31" i="39"/>
  <c r="P26" i="39"/>
  <c r="P31" i="39" s="1"/>
  <c r="P73" i="40"/>
  <c r="H104" i="40"/>
  <c r="P73" i="36"/>
  <c r="P84" i="36"/>
  <c r="H54" i="39"/>
  <c r="H34" i="36"/>
  <c r="H63" i="36" s="1"/>
  <c r="P34" i="36"/>
  <c r="H24" i="38"/>
  <c r="P104" i="37"/>
  <c r="H34" i="40"/>
  <c r="P34" i="40"/>
  <c r="P63" i="40" s="1"/>
  <c r="P24" i="40"/>
  <c r="H39" i="38"/>
  <c r="P39" i="38"/>
  <c r="H37" i="38"/>
  <c r="P37" i="38"/>
  <c r="H104" i="39"/>
  <c r="H37" i="37"/>
  <c r="P37" i="37"/>
  <c r="P63" i="37" s="1"/>
  <c r="H39" i="36"/>
  <c r="P39" i="36"/>
  <c r="H34" i="38"/>
  <c r="P34" i="38"/>
  <c r="H41" i="39"/>
  <c r="P73" i="39"/>
  <c r="H39" i="40"/>
  <c r="P39" i="40"/>
  <c r="H84" i="39"/>
  <c r="P75" i="39"/>
  <c r="P84" i="39" s="1"/>
  <c r="H31" i="40"/>
  <c r="P104" i="36"/>
  <c r="H104" i="37"/>
  <c r="P63" i="38"/>
  <c r="H33" i="40"/>
  <c r="G63" i="40"/>
  <c r="H38" i="40"/>
  <c r="H33" i="39"/>
  <c r="G63" i="39"/>
  <c r="H38" i="39"/>
  <c r="H33" i="38"/>
  <c r="G63" i="38"/>
  <c r="H38" i="38"/>
  <c r="H24" i="37"/>
  <c r="H33" i="37"/>
  <c r="H63" i="37" s="1"/>
  <c r="G63" i="37"/>
  <c r="H24" i="36"/>
  <c r="H84" i="36"/>
  <c r="G63" i="36"/>
  <c r="P63" i="36" l="1"/>
  <c r="H63" i="40"/>
  <c r="H63" i="39"/>
  <c r="H63" i="38"/>
  <c r="F21" i="35" l="1"/>
  <c r="F18" i="35"/>
  <c r="M20" i="35"/>
  <c r="G20" i="35"/>
  <c r="F20" i="35"/>
  <c r="M19" i="35"/>
  <c r="G19" i="35"/>
  <c r="F19" i="35"/>
  <c r="M18" i="35"/>
  <c r="G18" i="35"/>
  <c r="H18" i="35" s="1"/>
  <c r="L97" i="35"/>
  <c r="K97" i="35"/>
  <c r="J97" i="35"/>
  <c r="I97" i="35"/>
  <c r="D97" i="35"/>
  <c r="M96" i="35"/>
  <c r="H96" i="35"/>
  <c r="M95" i="35"/>
  <c r="G95" i="35"/>
  <c r="M94" i="35"/>
  <c r="F94" i="35"/>
  <c r="H94" i="35" s="1"/>
  <c r="G93" i="35"/>
  <c r="M92" i="35"/>
  <c r="F92" i="35"/>
  <c r="H92" i="35" s="1"/>
  <c r="H91" i="35"/>
  <c r="M90" i="35"/>
  <c r="H90" i="35"/>
  <c r="F89" i="35"/>
  <c r="H89" i="35" s="1"/>
  <c r="M88" i="35"/>
  <c r="F88" i="35"/>
  <c r="H88" i="35" s="1"/>
  <c r="F87" i="35"/>
  <c r="H87" i="35" s="1"/>
  <c r="M86" i="35"/>
  <c r="F86" i="35"/>
  <c r="H86" i="35" s="1"/>
  <c r="K84" i="35"/>
  <c r="J84" i="35"/>
  <c r="I84" i="35"/>
  <c r="D84" i="35"/>
  <c r="M83" i="35"/>
  <c r="F83" i="35"/>
  <c r="H83" i="35" s="1"/>
  <c r="P83" i="35" s="1"/>
  <c r="M82" i="35"/>
  <c r="F82" i="35"/>
  <c r="H82" i="35" s="1"/>
  <c r="P82" i="35" s="1"/>
  <c r="M81" i="35"/>
  <c r="F81" i="35"/>
  <c r="H81" i="35" s="1"/>
  <c r="P81" i="35" s="1"/>
  <c r="M80" i="35"/>
  <c r="F80" i="35"/>
  <c r="H80" i="35" s="1"/>
  <c r="P80" i="35" s="1"/>
  <c r="M79" i="35"/>
  <c r="F79" i="35"/>
  <c r="H79" i="35" s="1"/>
  <c r="P79" i="35" s="1"/>
  <c r="M78" i="35"/>
  <c r="F78" i="35"/>
  <c r="H78" i="35" s="1"/>
  <c r="P78" i="35" s="1"/>
  <c r="M77" i="35"/>
  <c r="F77" i="35"/>
  <c r="H77" i="35" s="1"/>
  <c r="P77" i="35" s="1"/>
  <c r="M76" i="35"/>
  <c r="G76" i="35"/>
  <c r="G84" i="35" s="1"/>
  <c r="M75" i="35"/>
  <c r="H75" i="35"/>
  <c r="P75" i="35" s="1"/>
  <c r="K73" i="35"/>
  <c r="J73" i="35"/>
  <c r="I73" i="35"/>
  <c r="D73" i="35"/>
  <c r="M72" i="35"/>
  <c r="G72" i="35"/>
  <c r="P72" i="35" s="1"/>
  <c r="F72" i="35"/>
  <c r="M71" i="35"/>
  <c r="G71" i="35"/>
  <c r="P71" i="35" s="1"/>
  <c r="F71" i="35"/>
  <c r="M70" i="35"/>
  <c r="G70" i="35"/>
  <c r="P70" i="35" s="1"/>
  <c r="F70" i="35"/>
  <c r="M69" i="35"/>
  <c r="G69" i="35"/>
  <c r="M68" i="35"/>
  <c r="G68" i="35"/>
  <c r="P68" i="35" s="1"/>
  <c r="F68" i="35"/>
  <c r="M67" i="35"/>
  <c r="G67" i="35"/>
  <c r="P67" i="35" s="1"/>
  <c r="F67" i="35"/>
  <c r="M66" i="35"/>
  <c r="G66" i="35"/>
  <c r="P66" i="35" s="1"/>
  <c r="F66" i="35"/>
  <c r="H66" i="35" s="1"/>
  <c r="M65" i="35"/>
  <c r="G65" i="35"/>
  <c r="K63" i="35"/>
  <c r="J63" i="35"/>
  <c r="I63" i="35"/>
  <c r="M62" i="35"/>
  <c r="F62" i="35"/>
  <c r="H62" i="35" s="1"/>
  <c r="M61" i="35"/>
  <c r="G61" i="35"/>
  <c r="M60" i="35"/>
  <c r="G60" i="35"/>
  <c r="M59" i="35"/>
  <c r="D59" i="35"/>
  <c r="G59" i="35" s="1"/>
  <c r="M58" i="35"/>
  <c r="D58" i="35"/>
  <c r="G58" i="35" s="1"/>
  <c r="M57" i="35"/>
  <c r="D57" i="35"/>
  <c r="G57" i="35" s="1"/>
  <c r="M56" i="35"/>
  <c r="D56" i="35"/>
  <c r="G56" i="35" s="1"/>
  <c r="M55" i="35"/>
  <c r="D55" i="35"/>
  <c r="G55" i="35" s="1"/>
  <c r="M54" i="35"/>
  <c r="D54" i="35"/>
  <c r="G54" i="35" s="1"/>
  <c r="M53" i="35"/>
  <c r="D53" i="35"/>
  <c r="G53" i="35" s="1"/>
  <c r="M52" i="35"/>
  <c r="D52" i="35"/>
  <c r="G52" i="35" s="1"/>
  <c r="M51" i="35"/>
  <c r="D51" i="35"/>
  <c r="G51" i="35" s="1"/>
  <c r="M50" i="35"/>
  <c r="D50" i="35"/>
  <c r="G50" i="35" s="1"/>
  <c r="M49" i="35"/>
  <c r="D49" i="35"/>
  <c r="G49" i="35" s="1"/>
  <c r="M48" i="35"/>
  <c r="D48" i="35"/>
  <c r="G48" i="35" s="1"/>
  <c r="M47" i="35"/>
  <c r="D47" i="35"/>
  <c r="G47" i="35" s="1"/>
  <c r="M46" i="35"/>
  <c r="D46" i="35"/>
  <c r="G46" i="35" s="1"/>
  <c r="M45" i="35"/>
  <c r="D45" i="35"/>
  <c r="G45" i="35" s="1"/>
  <c r="M44" i="35"/>
  <c r="D44" i="35"/>
  <c r="G44" i="35" s="1"/>
  <c r="M43" i="35"/>
  <c r="D43" i="35"/>
  <c r="G43" i="35" s="1"/>
  <c r="M42" i="35"/>
  <c r="D42" i="35"/>
  <c r="G42" i="35" s="1"/>
  <c r="M41" i="35"/>
  <c r="D41" i="35"/>
  <c r="G41" i="35" s="1"/>
  <c r="M40" i="35"/>
  <c r="D40" i="35"/>
  <c r="G40" i="35" s="1"/>
  <c r="M38" i="35"/>
  <c r="M37" i="35"/>
  <c r="D37" i="35"/>
  <c r="M36" i="35"/>
  <c r="D36" i="35"/>
  <c r="G36" i="35" s="1"/>
  <c r="M35" i="35"/>
  <c r="D35" i="35"/>
  <c r="G35" i="35" s="1"/>
  <c r="M33" i="35"/>
  <c r="D33" i="35"/>
  <c r="G34" i="35" s="1"/>
  <c r="K31" i="35"/>
  <c r="J31" i="35"/>
  <c r="I31" i="35"/>
  <c r="F31" i="35"/>
  <c r="D31" i="35"/>
  <c r="R31" i="35" s="1"/>
  <c r="M30" i="35"/>
  <c r="G30" i="35"/>
  <c r="H30" i="35" s="1"/>
  <c r="G29" i="35"/>
  <c r="H29" i="35" s="1"/>
  <c r="M28" i="35"/>
  <c r="G28" i="35"/>
  <c r="H28" i="35" s="1"/>
  <c r="G27" i="35"/>
  <c r="H27" i="35" s="1"/>
  <c r="M26" i="35"/>
  <c r="G26" i="35"/>
  <c r="K24" i="35"/>
  <c r="J24" i="35"/>
  <c r="I24" i="35"/>
  <c r="D24" i="35"/>
  <c r="S24" i="35" s="1"/>
  <c r="M23" i="35"/>
  <c r="G23" i="35"/>
  <c r="F23" i="35"/>
  <c r="M22" i="35"/>
  <c r="G22" i="35"/>
  <c r="F22" i="35"/>
  <c r="M21" i="35"/>
  <c r="G21" i="35"/>
  <c r="M17" i="35"/>
  <c r="G17" i="35"/>
  <c r="F17" i="35"/>
  <c r="M16" i="35"/>
  <c r="G16" i="35"/>
  <c r="F16" i="35"/>
  <c r="M15" i="35"/>
  <c r="G15" i="35"/>
  <c r="F15" i="35"/>
  <c r="M14" i="35"/>
  <c r="G14" i="35"/>
  <c r="F14" i="35"/>
  <c r="H14" i="35" s="1"/>
  <c r="M13" i="35"/>
  <c r="G13" i="35"/>
  <c r="F13" i="35"/>
  <c r="M12" i="35"/>
  <c r="G12" i="35"/>
  <c r="F12" i="35"/>
  <c r="M11" i="35"/>
  <c r="G11" i="35"/>
  <c r="F11" i="35"/>
  <c r="M10" i="35"/>
  <c r="G10" i="35"/>
  <c r="F10" i="35"/>
  <c r="H10" i="35" s="1"/>
  <c r="H46" i="35" l="1"/>
  <c r="P46" i="35"/>
  <c r="H58" i="35"/>
  <c r="P58" i="35"/>
  <c r="H65" i="35"/>
  <c r="P65" i="35"/>
  <c r="H41" i="35"/>
  <c r="P41" i="35"/>
  <c r="H53" i="35"/>
  <c r="P53" i="35"/>
  <c r="H34" i="35"/>
  <c r="P34" i="35"/>
  <c r="H95" i="35"/>
  <c r="P95" i="35"/>
  <c r="H42" i="35"/>
  <c r="P42" i="35"/>
  <c r="H48" i="35"/>
  <c r="P48" i="35"/>
  <c r="H54" i="35"/>
  <c r="P54" i="35"/>
  <c r="H60" i="35"/>
  <c r="P60" i="35"/>
  <c r="H35" i="35"/>
  <c r="P35" i="35"/>
  <c r="R24" i="35"/>
  <c r="T24" i="35"/>
  <c r="H51" i="35"/>
  <c r="P51" i="35"/>
  <c r="H52" i="35"/>
  <c r="P52" i="35"/>
  <c r="H59" i="35"/>
  <c r="P59" i="35"/>
  <c r="H49" i="35"/>
  <c r="P49" i="35"/>
  <c r="H36" i="35"/>
  <c r="P36" i="35"/>
  <c r="H50" i="35"/>
  <c r="P50" i="35"/>
  <c r="H45" i="35"/>
  <c r="P45" i="35"/>
  <c r="H57" i="35"/>
  <c r="P57" i="35"/>
  <c r="H40" i="35"/>
  <c r="P40" i="35"/>
  <c r="H69" i="35"/>
  <c r="P69" i="35"/>
  <c r="H93" i="35"/>
  <c r="P93" i="35"/>
  <c r="P97" i="35" s="1"/>
  <c r="R97" i="35" s="1"/>
  <c r="H47" i="35"/>
  <c r="P47" i="35"/>
  <c r="H43" i="35"/>
  <c r="P43" i="35"/>
  <c r="H55" i="35"/>
  <c r="P55" i="35"/>
  <c r="H61" i="35"/>
  <c r="P61" i="35"/>
  <c r="H44" i="35"/>
  <c r="P44" i="35"/>
  <c r="H56" i="35"/>
  <c r="P56" i="35"/>
  <c r="H11" i="35"/>
  <c r="H15" i="35"/>
  <c r="H21" i="35"/>
  <c r="H20" i="35"/>
  <c r="H19" i="35"/>
  <c r="M97" i="35"/>
  <c r="G31" i="35"/>
  <c r="H70" i="35"/>
  <c r="M31" i="35"/>
  <c r="G97" i="35"/>
  <c r="M24" i="35"/>
  <c r="H12" i="35"/>
  <c r="H16" i="35"/>
  <c r="H22" i="35"/>
  <c r="G33" i="35"/>
  <c r="H68" i="35"/>
  <c r="H76" i="35"/>
  <c r="M63" i="35"/>
  <c r="F73" i="35"/>
  <c r="M73" i="35"/>
  <c r="H72" i="35"/>
  <c r="G24" i="35"/>
  <c r="H13" i="35"/>
  <c r="H17" i="35"/>
  <c r="H26" i="35"/>
  <c r="H31" i="35" s="1"/>
  <c r="H67" i="35"/>
  <c r="H71" i="35"/>
  <c r="G38" i="35"/>
  <c r="P38" i="35" s="1"/>
  <c r="G37" i="35"/>
  <c r="G39" i="35"/>
  <c r="F97" i="35"/>
  <c r="M84" i="35"/>
  <c r="H23" i="35"/>
  <c r="F24" i="35"/>
  <c r="F38" i="35"/>
  <c r="D63" i="35"/>
  <c r="F84" i="35"/>
  <c r="F63" i="35"/>
  <c r="G73" i="35"/>
  <c r="H39" i="35" l="1"/>
  <c r="P39" i="35"/>
  <c r="P73" i="35"/>
  <c r="H37" i="35"/>
  <c r="P37" i="35"/>
  <c r="H33" i="35"/>
  <c r="P33" i="35"/>
  <c r="H84" i="35"/>
  <c r="P76" i="35"/>
  <c r="P84" i="35" s="1"/>
  <c r="H73" i="35"/>
  <c r="H24" i="35"/>
  <c r="H38" i="35"/>
  <c r="H63" i="35" s="1"/>
  <c r="H97" i="35"/>
  <c r="G63" i="35"/>
  <c r="P63" i="35" l="1"/>
  <c r="R63" i="35" s="1"/>
  <c r="R84" i="35"/>
  <c r="S84" i="35" s="1"/>
  <c r="G23" i="34"/>
  <c r="H23" i="34" s="1"/>
  <c r="G26" i="34"/>
  <c r="G27" i="34"/>
  <c r="G24" i="34"/>
  <c r="F69" i="34"/>
  <c r="H69" i="34" s="1"/>
  <c r="F68" i="34"/>
  <c r="H68" i="34" s="1"/>
  <c r="F67" i="34"/>
  <c r="H67" i="34" s="1"/>
  <c r="F64" i="34"/>
  <c r="F63" i="34"/>
  <c r="F100" i="34"/>
  <c r="H100" i="34" s="1"/>
  <c r="F98" i="34"/>
  <c r="F96" i="34"/>
  <c r="F93" i="34"/>
  <c r="H93" i="34" s="1"/>
  <c r="F92" i="34"/>
  <c r="F91" i="34"/>
  <c r="F90" i="34"/>
  <c r="F87" i="34"/>
  <c r="H87" i="34" s="1"/>
  <c r="F86" i="34"/>
  <c r="H86" i="34" s="1"/>
  <c r="F85" i="34"/>
  <c r="H85" i="34" s="1"/>
  <c r="F84" i="34"/>
  <c r="H84" i="34" s="1"/>
  <c r="F83" i="34"/>
  <c r="F80" i="34"/>
  <c r="H80" i="34" s="1"/>
  <c r="F79" i="34"/>
  <c r="F78" i="34"/>
  <c r="H78" i="34" s="1"/>
  <c r="F77" i="34"/>
  <c r="F76" i="34"/>
  <c r="H76" i="34" s="1"/>
  <c r="F75" i="34"/>
  <c r="H75" i="34" s="1"/>
  <c r="F74" i="34"/>
  <c r="H74" i="34" s="1"/>
  <c r="F73" i="34"/>
  <c r="H73" i="34" s="1"/>
  <c r="F72" i="34"/>
  <c r="H72" i="34" s="1"/>
  <c r="F65" i="34"/>
  <c r="F59" i="34"/>
  <c r="H59" i="34" s="1"/>
  <c r="F35" i="34"/>
  <c r="F20" i="34"/>
  <c r="H20" i="34" s="1"/>
  <c r="F19" i="34"/>
  <c r="F17" i="34"/>
  <c r="F16" i="34"/>
  <c r="F15" i="34"/>
  <c r="H15" i="34" s="1"/>
  <c r="F14" i="34"/>
  <c r="F13" i="34"/>
  <c r="H13" i="34" s="1"/>
  <c r="F12" i="34"/>
  <c r="F11" i="34"/>
  <c r="F10" i="34"/>
  <c r="G99" i="34"/>
  <c r="H99" i="34" s="1"/>
  <c r="G97" i="34"/>
  <c r="H97" i="34" s="1"/>
  <c r="G73" i="34"/>
  <c r="G81" i="34" s="1"/>
  <c r="G69" i="34"/>
  <c r="G68" i="34"/>
  <c r="G67" i="34"/>
  <c r="G66" i="34"/>
  <c r="H66" i="34" s="1"/>
  <c r="G65" i="34"/>
  <c r="G64" i="34"/>
  <c r="G63" i="34"/>
  <c r="G62" i="34"/>
  <c r="H62" i="34" s="1"/>
  <c r="G58" i="34"/>
  <c r="H58" i="34" s="1"/>
  <c r="G57" i="34"/>
  <c r="H57" i="34" s="1"/>
  <c r="G56" i="34"/>
  <c r="H56" i="34" s="1"/>
  <c r="G50" i="34"/>
  <c r="G49" i="34"/>
  <c r="H49" i="34" s="1"/>
  <c r="G48" i="34"/>
  <c r="H48" i="34" s="1"/>
  <c r="G45" i="34"/>
  <c r="H45" i="34" s="1"/>
  <c r="G44" i="34"/>
  <c r="H44" i="34" s="1"/>
  <c r="G43" i="34"/>
  <c r="H43" i="34" s="1"/>
  <c r="G37" i="34"/>
  <c r="H37" i="34" s="1"/>
  <c r="G36" i="34"/>
  <c r="G35" i="34"/>
  <c r="G34" i="34"/>
  <c r="G33" i="34"/>
  <c r="G32" i="34"/>
  <c r="G30" i="34"/>
  <c r="G25" i="34"/>
  <c r="G20" i="34"/>
  <c r="G19" i="34"/>
  <c r="G17" i="34"/>
  <c r="G16" i="34"/>
  <c r="G15" i="34"/>
  <c r="G14" i="34"/>
  <c r="G13" i="34"/>
  <c r="G12" i="34"/>
  <c r="G11" i="34"/>
  <c r="G10" i="34"/>
  <c r="L102" i="34"/>
  <c r="K102" i="34"/>
  <c r="J102" i="34"/>
  <c r="I102" i="34"/>
  <c r="D102" i="34"/>
  <c r="M101" i="34"/>
  <c r="H101" i="34"/>
  <c r="M100" i="34"/>
  <c r="M99" i="34"/>
  <c r="M98" i="34"/>
  <c r="H98" i="34"/>
  <c r="M96" i="34"/>
  <c r="H96" i="34"/>
  <c r="H95" i="34"/>
  <c r="M94" i="34"/>
  <c r="H94" i="34"/>
  <c r="M92" i="34"/>
  <c r="H92" i="34"/>
  <c r="H91" i="34"/>
  <c r="M90" i="34"/>
  <c r="H90" i="34"/>
  <c r="L88" i="34"/>
  <c r="K88" i="34"/>
  <c r="J88" i="34"/>
  <c r="I88" i="34"/>
  <c r="G88" i="34"/>
  <c r="D88" i="34"/>
  <c r="M87" i="34"/>
  <c r="M86" i="34"/>
  <c r="M85" i="34"/>
  <c r="M84" i="34"/>
  <c r="M83" i="34"/>
  <c r="M88" i="34" s="1"/>
  <c r="L81" i="34"/>
  <c r="K81" i="34"/>
  <c r="J81" i="34"/>
  <c r="I81" i="34"/>
  <c r="D81" i="34"/>
  <c r="M80" i="34"/>
  <c r="M79" i="34"/>
  <c r="H79" i="34"/>
  <c r="M78" i="34"/>
  <c r="M77" i="34"/>
  <c r="H77" i="34"/>
  <c r="M76" i="34"/>
  <c r="M75" i="34"/>
  <c r="M74" i="34"/>
  <c r="M73" i="34"/>
  <c r="M72" i="34"/>
  <c r="K70" i="34"/>
  <c r="J70" i="34"/>
  <c r="I70" i="34"/>
  <c r="D70" i="34"/>
  <c r="M69" i="34"/>
  <c r="M68" i="34"/>
  <c r="M67" i="34"/>
  <c r="M66" i="34"/>
  <c r="M65" i="34"/>
  <c r="M64" i="34"/>
  <c r="M63" i="34"/>
  <c r="M62" i="34"/>
  <c r="L60" i="34"/>
  <c r="K60" i="34"/>
  <c r="J60" i="34"/>
  <c r="I60" i="34"/>
  <c r="M59" i="34"/>
  <c r="M58" i="34"/>
  <c r="M57" i="34"/>
  <c r="M56" i="34"/>
  <c r="D56" i="34"/>
  <c r="M55" i="34"/>
  <c r="D55" i="34"/>
  <c r="G55" i="34" s="1"/>
  <c r="H55" i="34" s="1"/>
  <c r="M54" i="34"/>
  <c r="D54" i="34"/>
  <c r="G54" i="34" s="1"/>
  <c r="H54" i="34" s="1"/>
  <c r="M53" i="34"/>
  <c r="D53" i="34"/>
  <c r="G53" i="34" s="1"/>
  <c r="H53" i="34" s="1"/>
  <c r="M52" i="34"/>
  <c r="D52" i="34"/>
  <c r="G52" i="34" s="1"/>
  <c r="H52" i="34" s="1"/>
  <c r="M51" i="34"/>
  <c r="D51" i="34"/>
  <c r="G51" i="34" s="1"/>
  <c r="H51" i="34" s="1"/>
  <c r="M50" i="34"/>
  <c r="H50" i="34"/>
  <c r="D50" i="34"/>
  <c r="M49" i="34"/>
  <c r="D49" i="34"/>
  <c r="M48" i="34"/>
  <c r="D48" i="34"/>
  <c r="M47" i="34"/>
  <c r="D47" i="34"/>
  <c r="G47" i="34" s="1"/>
  <c r="H47" i="34" s="1"/>
  <c r="M46" i="34"/>
  <c r="D46" i="34"/>
  <c r="G46" i="34" s="1"/>
  <c r="H46" i="34" s="1"/>
  <c r="M45" i="34"/>
  <c r="D45" i="34"/>
  <c r="M44" i="34"/>
  <c r="D44" i="34"/>
  <c r="M43" i="34"/>
  <c r="D43" i="34"/>
  <c r="M42" i="34"/>
  <c r="D42" i="34"/>
  <c r="G42" i="34" s="1"/>
  <c r="H42" i="34" s="1"/>
  <c r="M41" i="34"/>
  <c r="D41" i="34"/>
  <c r="G41" i="34" s="1"/>
  <c r="H41" i="34" s="1"/>
  <c r="M40" i="34"/>
  <c r="D40" i="34"/>
  <c r="G40" i="34" s="1"/>
  <c r="H40" i="34" s="1"/>
  <c r="M39" i="34"/>
  <c r="D39" i="34"/>
  <c r="G39" i="34" s="1"/>
  <c r="H39" i="34" s="1"/>
  <c r="M38" i="34"/>
  <c r="D38" i="34"/>
  <c r="G38" i="34" s="1"/>
  <c r="H38" i="34" s="1"/>
  <c r="M37" i="34"/>
  <c r="D37" i="34"/>
  <c r="M35" i="34"/>
  <c r="M34" i="34"/>
  <c r="D34" i="34"/>
  <c r="M33" i="34"/>
  <c r="D33" i="34"/>
  <c r="M32" i="34"/>
  <c r="D32" i="34"/>
  <c r="M30" i="34"/>
  <c r="D30" i="34"/>
  <c r="G31" i="34" s="1"/>
  <c r="H31" i="34" s="1"/>
  <c r="K28" i="34"/>
  <c r="J28" i="34"/>
  <c r="I28" i="34"/>
  <c r="F28" i="34"/>
  <c r="D28" i="34"/>
  <c r="M27" i="34"/>
  <c r="H27" i="34"/>
  <c r="M25" i="34"/>
  <c r="H25" i="34"/>
  <c r="M23" i="34"/>
  <c r="M28" i="34" s="1"/>
  <c r="K21" i="34"/>
  <c r="J21" i="34"/>
  <c r="I21" i="34"/>
  <c r="D21" i="34"/>
  <c r="M20" i="34"/>
  <c r="M19" i="34"/>
  <c r="H19" i="34"/>
  <c r="M18" i="34"/>
  <c r="G18" i="34"/>
  <c r="H18" i="34" s="1"/>
  <c r="M17" i="34"/>
  <c r="M16" i="34"/>
  <c r="M15" i="34"/>
  <c r="M14" i="34"/>
  <c r="M13" i="34"/>
  <c r="M12" i="34"/>
  <c r="M11" i="34"/>
  <c r="M10" i="34"/>
  <c r="M60" i="34" l="1"/>
  <c r="H33" i="34"/>
  <c r="H11" i="34"/>
  <c r="H63" i="34"/>
  <c r="H65" i="34"/>
  <c r="H16" i="34"/>
  <c r="M81" i="34"/>
  <c r="H14" i="34"/>
  <c r="D60" i="34"/>
  <c r="H17" i="34"/>
  <c r="H32" i="34"/>
  <c r="M102" i="34"/>
  <c r="M21" i="34"/>
  <c r="M70" i="34"/>
  <c r="F21" i="34"/>
  <c r="H12" i="34"/>
  <c r="G102" i="34"/>
  <c r="H64" i="34"/>
  <c r="H28" i="34"/>
  <c r="G21" i="34"/>
  <c r="H10" i="34"/>
  <c r="H30" i="34"/>
  <c r="F81" i="34"/>
  <c r="F70" i="34"/>
  <c r="H81" i="34"/>
  <c r="H83" i="34"/>
  <c r="F88" i="34"/>
  <c r="F102" i="34" s="1"/>
  <c r="G28" i="34"/>
  <c r="H35" i="34"/>
  <c r="H36" i="34"/>
  <c r="F60" i="34"/>
  <c r="G70" i="34"/>
  <c r="H34" i="34"/>
  <c r="G101" i="33"/>
  <c r="G99" i="33"/>
  <c r="G73" i="33"/>
  <c r="G69" i="33"/>
  <c r="G68" i="33"/>
  <c r="G67" i="33"/>
  <c r="G66" i="33"/>
  <c r="G65" i="33"/>
  <c r="G64" i="33"/>
  <c r="G63" i="33"/>
  <c r="G62" i="33"/>
  <c r="G58" i="33"/>
  <c r="G57" i="33"/>
  <c r="G25" i="32"/>
  <c r="G27" i="33"/>
  <c r="G25" i="33"/>
  <c r="G23" i="33"/>
  <c r="G20" i="33"/>
  <c r="G19" i="33"/>
  <c r="G18" i="33"/>
  <c r="G16" i="33"/>
  <c r="G15" i="33"/>
  <c r="G14" i="33"/>
  <c r="G13" i="33"/>
  <c r="G12" i="33"/>
  <c r="G11" i="33"/>
  <c r="G10" i="33"/>
  <c r="F101" i="33"/>
  <c r="F100" i="33"/>
  <c r="F98" i="33"/>
  <c r="F96" i="33"/>
  <c r="F93" i="33"/>
  <c r="F92" i="33"/>
  <c r="F91" i="33"/>
  <c r="F90" i="33"/>
  <c r="F87" i="33"/>
  <c r="F86" i="33"/>
  <c r="F85" i="33"/>
  <c r="F84" i="33"/>
  <c r="F83" i="33"/>
  <c r="F78" i="33"/>
  <c r="F77" i="33"/>
  <c r="F76" i="33"/>
  <c r="F75" i="33"/>
  <c r="F74" i="33"/>
  <c r="F73" i="33"/>
  <c r="F72" i="33"/>
  <c r="F69" i="33"/>
  <c r="F68" i="33"/>
  <c r="F67" i="33"/>
  <c r="F64" i="33"/>
  <c r="F63" i="33"/>
  <c r="F59" i="33"/>
  <c r="F60" i="33" s="1"/>
  <c r="F20" i="33"/>
  <c r="F19" i="33"/>
  <c r="F18" i="33"/>
  <c r="F17" i="33"/>
  <c r="F16" i="33"/>
  <c r="F15" i="33"/>
  <c r="F14" i="33"/>
  <c r="F13" i="33"/>
  <c r="F12" i="33"/>
  <c r="F11" i="33"/>
  <c r="F10" i="33"/>
  <c r="H70" i="34" l="1"/>
  <c r="H21" i="34"/>
  <c r="H88" i="34"/>
  <c r="H102" i="34" s="1"/>
  <c r="H60" i="34"/>
  <c r="G60" i="34"/>
  <c r="L102" i="33" l="1"/>
  <c r="K102" i="33"/>
  <c r="J102" i="33"/>
  <c r="I102" i="33"/>
  <c r="D102" i="33"/>
  <c r="M101" i="33"/>
  <c r="H101" i="33"/>
  <c r="M100" i="33"/>
  <c r="H100" i="33"/>
  <c r="M99" i="33"/>
  <c r="H99" i="33"/>
  <c r="M98" i="33"/>
  <c r="H98" i="33"/>
  <c r="G97" i="33"/>
  <c r="H97" i="33" s="1"/>
  <c r="M96" i="33"/>
  <c r="H96" i="33"/>
  <c r="H95" i="33"/>
  <c r="M94" i="33"/>
  <c r="H94" i="33"/>
  <c r="H93" i="33"/>
  <c r="M92" i="33"/>
  <c r="H92" i="33"/>
  <c r="H91" i="33"/>
  <c r="M90" i="33"/>
  <c r="H90" i="33"/>
  <c r="L88" i="33"/>
  <c r="K88" i="33"/>
  <c r="J88" i="33"/>
  <c r="I88" i="33"/>
  <c r="G88" i="33"/>
  <c r="G102" i="33" s="1"/>
  <c r="D88" i="33"/>
  <c r="M87" i="33"/>
  <c r="H87" i="33"/>
  <c r="M86" i="33"/>
  <c r="H86" i="33"/>
  <c r="M85" i="33"/>
  <c r="H85" i="33"/>
  <c r="M84" i="33"/>
  <c r="H84" i="33"/>
  <c r="M83" i="33"/>
  <c r="L81" i="33"/>
  <c r="K81" i="33"/>
  <c r="J81" i="33"/>
  <c r="I81" i="33"/>
  <c r="G81" i="33"/>
  <c r="D81" i="33"/>
  <c r="M80" i="33"/>
  <c r="F80" i="33"/>
  <c r="H80" i="33" s="1"/>
  <c r="M79" i="33"/>
  <c r="F79" i="33"/>
  <c r="H79" i="33" s="1"/>
  <c r="M78" i="33"/>
  <c r="H78" i="33"/>
  <c r="M77" i="33"/>
  <c r="H77" i="33"/>
  <c r="M76" i="33"/>
  <c r="H76" i="33"/>
  <c r="M75" i="33"/>
  <c r="H75" i="33"/>
  <c r="M74" i="33"/>
  <c r="H74" i="33"/>
  <c r="M73" i="33"/>
  <c r="H73" i="33"/>
  <c r="M72" i="33"/>
  <c r="H72" i="33"/>
  <c r="K70" i="33"/>
  <c r="J70" i="33"/>
  <c r="I70" i="33"/>
  <c r="D70" i="33"/>
  <c r="M69" i="33"/>
  <c r="H69" i="33"/>
  <c r="M68" i="33"/>
  <c r="H68" i="33"/>
  <c r="M67" i="33"/>
  <c r="H67" i="33"/>
  <c r="M66" i="33"/>
  <c r="H66" i="33"/>
  <c r="M65" i="33"/>
  <c r="F65" i="33"/>
  <c r="H65" i="33" s="1"/>
  <c r="M64" i="33"/>
  <c r="H64" i="33"/>
  <c r="M63" i="33"/>
  <c r="H63" i="33"/>
  <c r="M62" i="33"/>
  <c r="H62" i="33"/>
  <c r="L60" i="33"/>
  <c r="K60" i="33"/>
  <c r="J60" i="33"/>
  <c r="I60" i="33"/>
  <c r="M59" i="33"/>
  <c r="H59" i="33"/>
  <c r="M58" i="33"/>
  <c r="H58" i="33"/>
  <c r="M57" i="33"/>
  <c r="H57" i="33"/>
  <c r="M56" i="33"/>
  <c r="G56" i="33"/>
  <c r="H56" i="33" s="1"/>
  <c r="D56" i="33"/>
  <c r="M55" i="33"/>
  <c r="D55" i="33"/>
  <c r="G55" i="33" s="1"/>
  <c r="H55" i="33" s="1"/>
  <c r="M54" i="33"/>
  <c r="D54" i="33"/>
  <c r="G54" i="33" s="1"/>
  <c r="H54" i="33" s="1"/>
  <c r="M53" i="33"/>
  <c r="D53" i="33"/>
  <c r="G53" i="33" s="1"/>
  <c r="H53" i="33" s="1"/>
  <c r="M52" i="33"/>
  <c r="G52" i="33"/>
  <c r="H52" i="33" s="1"/>
  <c r="D52" i="33"/>
  <c r="M51" i="33"/>
  <c r="D51" i="33"/>
  <c r="G51" i="33" s="1"/>
  <c r="H51" i="33" s="1"/>
  <c r="M50" i="33"/>
  <c r="D50" i="33"/>
  <c r="G50" i="33" s="1"/>
  <c r="H50" i="33" s="1"/>
  <c r="M49" i="33"/>
  <c r="D49" i="33"/>
  <c r="G49" i="33" s="1"/>
  <c r="H49" i="33" s="1"/>
  <c r="M48" i="33"/>
  <c r="H48" i="33"/>
  <c r="D48" i="33"/>
  <c r="G48" i="33" s="1"/>
  <c r="M47" i="33"/>
  <c r="D47" i="33"/>
  <c r="G47" i="33" s="1"/>
  <c r="H47" i="33" s="1"/>
  <c r="M46" i="33"/>
  <c r="D46" i="33"/>
  <c r="G46" i="33" s="1"/>
  <c r="H46" i="33" s="1"/>
  <c r="M45" i="33"/>
  <c r="D45" i="33"/>
  <c r="G45" i="33" s="1"/>
  <c r="H45" i="33" s="1"/>
  <c r="M44" i="33"/>
  <c r="H44" i="33"/>
  <c r="D44" i="33"/>
  <c r="G44" i="33" s="1"/>
  <c r="M43" i="33"/>
  <c r="D43" i="33"/>
  <c r="G43" i="33" s="1"/>
  <c r="H43" i="33" s="1"/>
  <c r="M42" i="33"/>
  <c r="D42" i="33"/>
  <c r="G42" i="33" s="1"/>
  <c r="H42" i="33" s="1"/>
  <c r="M41" i="33"/>
  <c r="D41" i="33"/>
  <c r="G41" i="33" s="1"/>
  <c r="H41" i="33" s="1"/>
  <c r="M40" i="33"/>
  <c r="H40" i="33"/>
  <c r="D40" i="33"/>
  <c r="G40" i="33" s="1"/>
  <c r="M39" i="33"/>
  <c r="D39" i="33"/>
  <c r="G39" i="33" s="1"/>
  <c r="H39" i="33" s="1"/>
  <c r="M38" i="33"/>
  <c r="D38" i="33"/>
  <c r="G38" i="33" s="1"/>
  <c r="H38" i="33" s="1"/>
  <c r="M37" i="33"/>
  <c r="D37" i="33"/>
  <c r="G37" i="33" s="1"/>
  <c r="H37" i="33" s="1"/>
  <c r="M35" i="33"/>
  <c r="M34" i="33"/>
  <c r="D34" i="33"/>
  <c r="M33" i="33"/>
  <c r="D33" i="33"/>
  <c r="M32" i="33"/>
  <c r="D32" i="33"/>
  <c r="M30" i="33"/>
  <c r="D30" i="33"/>
  <c r="D60" i="33" s="1"/>
  <c r="K28" i="33"/>
  <c r="J28" i="33"/>
  <c r="I28" i="33"/>
  <c r="F28" i="33"/>
  <c r="D28" i="33"/>
  <c r="M27" i="33"/>
  <c r="H27" i="33"/>
  <c r="M25" i="33"/>
  <c r="H25" i="33"/>
  <c r="M23" i="33"/>
  <c r="H23" i="33"/>
  <c r="K21" i="33"/>
  <c r="J21" i="33"/>
  <c r="I21" i="33"/>
  <c r="G21" i="33"/>
  <c r="D21" i="33"/>
  <c r="M20" i="33"/>
  <c r="H20" i="33"/>
  <c r="M19" i="33"/>
  <c r="H19" i="33"/>
  <c r="M18" i="33"/>
  <c r="H18" i="33"/>
  <c r="M17" i="33"/>
  <c r="G17" i="33"/>
  <c r="H17" i="33" s="1"/>
  <c r="M16" i="33"/>
  <c r="H16" i="33"/>
  <c r="M15" i="33"/>
  <c r="H15" i="33"/>
  <c r="M14" i="33"/>
  <c r="H14" i="33"/>
  <c r="M13" i="33"/>
  <c r="H13" i="33"/>
  <c r="M12" i="33"/>
  <c r="H12" i="33"/>
  <c r="M11" i="33"/>
  <c r="H11" i="33"/>
  <c r="M10" i="33"/>
  <c r="H10" i="33"/>
  <c r="F21" i="33"/>
  <c r="G33" i="33" l="1"/>
  <c r="H33" i="33" s="1"/>
  <c r="M88" i="33"/>
  <c r="G32" i="33"/>
  <c r="H32" i="33" s="1"/>
  <c r="M70" i="33"/>
  <c r="M81" i="33"/>
  <c r="F35" i="33"/>
  <c r="G35" i="33"/>
  <c r="G30" i="33"/>
  <c r="G31" i="33"/>
  <c r="H31" i="33" s="1"/>
  <c r="M102" i="33"/>
  <c r="M60" i="33"/>
  <c r="M28" i="33"/>
  <c r="M21" i="33"/>
  <c r="H28" i="33"/>
  <c r="H21" i="33"/>
  <c r="H81" i="33"/>
  <c r="H70" i="33"/>
  <c r="F81" i="33"/>
  <c r="F88" i="33"/>
  <c r="F102" i="33" s="1"/>
  <c r="G36" i="33"/>
  <c r="H36" i="33" s="1"/>
  <c r="H83" i="33"/>
  <c r="F70" i="33"/>
  <c r="G28" i="33"/>
  <c r="G70" i="33"/>
  <c r="G34" i="33"/>
  <c r="H34" i="33" s="1"/>
  <c r="F101" i="32"/>
  <c r="F100" i="32"/>
  <c r="F93" i="32"/>
  <c r="F92" i="32"/>
  <c r="F91" i="32"/>
  <c r="F90" i="32"/>
  <c r="F84" i="32"/>
  <c r="F83" i="32"/>
  <c r="F68" i="32"/>
  <c r="F67" i="32"/>
  <c r="F65" i="32"/>
  <c r="F64" i="32"/>
  <c r="F63" i="32"/>
  <c r="G27" i="32"/>
  <c r="G23" i="32"/>
  <c r="K21" i="32"/>
  <c r="G20" i="32"/>
  <c r="G19" i="32"/>
  <c r="G18" i="32"/>
  <c r="G17" i="32"/>
  <c r="G16" i="32"/>
  <c r="G15" i="32"/>
  <c r="G14" i="32"/>
  <c r="G13" i="32"/>
  <c r="G12" i="32"/>
  <c r="G11" i="32"/>
  <c r="G10" i="32"/>
  <c r="F20" i="32"/>
  <c r="F19" i="32"/>
  <c r="F18" i="32"/>
  <c r="F17" i="32"/>
  <c r="F16" i="32"/>
  <c r="F15" i="32"/>
  <c r="F14" i="32"/>
  <c r="F13" i="32"/>
  <c r="F12" i="32"/>
  <c r="F11" i="32"/>
  <c r="F10" i="32"/>
  <c r="G60" i="33" l="1"/>
  <c r="H30" i="33"/>
  <c r="H35" i="33"/>
  <c r="H60" i="33" s="1"/>
  <c r="H88" i="33"/>
  <c r="H102" i="33" s="1"/>
  <c r="L102" i="32"/>
  <c r="K102" i="32"/>
  <c r="J102" i="32"/>
  <c r="I102" i="32"/>
  <c r="D102" i="32"/>
  <c r="M101" i="32"/>
  <c r="G101" i="32"/>
  <c r="M100" i="32"/>
  <c r="H100" i="32"/>
  <c r="M99" i="32"/>
  <c r="G99" i="32"/>
  <c r="H99" i="32" s="1"/>
  <c r="M98" i="32"/>
  <c r="F98" i="32"/>
  <c r="H98" i="32" s="1"/>
  <c r="G97" i="32"/>
  <c r="H97" i="32" s="1"/>
  <c r="M96" i="32"/>
  <c r="F96" i="32"/>
  <c r="H96" i="32" s="1"/>
  <c r="H95" i="32"/>
  <c r="M94" i="32"/>
  <c r="H94" i="32"/>
  <c r="H93" i="32"/>
  <c r="M92" i="32"/>
  <c r="H92" i="32"/>
  <c r="H91" i="32"/>
  <c r="M90" i="32"/>
  <c r="H90" i="32"/>
  <c r="L88" i="32"/>
  <c r="K88" i="32"/>
  <c r="J88" i="32"/>
  <c r="I88" i="32"/>
  <c r="G88" i="32"/>
  <c r="D88" i="32"/>
  <c r="M87" i="32"/>
  <c r="F87" i="32"/>
  <c r="H87" i="32" s="1"/>
  <c r="M86" i="32"/>
  <c r="F86" i="32"/>
  <c r="H86" i="32" s="1"/>
  <c r="M85" i="32"/>
  <c r="F85" i="32"/>
  <c r="H85" i="32" s="1"/>
  <c r="M84" i="32"/>
  <c r="H84" i="32"/>
  <c r="M83" i="32"/>
  <c r="H83" i="32"/>
  <c r="K81" i="32"/>
  <c r="J81" i="32"/>
  <c r="I81" i="32"/>
  <c r="D81" i="32"/>
  <c r="M80" i="32"/>
  <c r="F80" i="32"/>
  <c r="H80" i="32" s="1"/>
  <c r="M79" i="32"/>
  <c r="F79" i="32"/>
  <c r="H79" i="32" s="1"/>
  <c r="M78" i="32"/>
  <c r="F78" i="32"/>
  <c r="H78" i="32" s="1"/>
  <c r="M77" i="32"/>
  <c r="F77" i="32"/>
  <c r="H77" i="32" s="1"/>
  <c r="M76" i="32"/>
  <c r="F76" i="32"/>
  <c r="H76" i="32" s="1"/>
  <c r="M75" i="32"/>
  <c r="F75" i="32"/>
  <c r="H75" i="32" s="1"/>
  <c r="M74" i="32"/>
  <c r="F74" i="32"/>
  <c r="H74" i="32" s="1"/>
  <c r="M73" i="32"/>
  <c r="G73" i="32"/>
  <c r="G81" i="32" s="1"/>
  <c r="F73" i="32"/>
  <c r="M72" i="32"/>
  <c r="F72" i="32"/>
  <c r="H72" i="32" s="1"/>
  <c r="K70" i="32"/>
  <c r="J70" i="32"/>
  <c r="I70" i="32"/>
  <c r="D70" i="32"/>
  <c r="M69" i="32"/>
  <c r="G69" i="32"/>
  <c r="F69" i="32"/>
  <c r="M68" i="32"/>
  <c r="G68" i="32"/>
  <c r="M67" i="32"/>
  <c r="G67" i="32"/>
  <c r="M66" i="32"/>
  <c r="G66" i="32"/>
  <c r="H66" i="32" s="1"/>
  <c r="M65" i="32"/>
  <c r="G65" i="32"/>
  <c r="M64" i="32"/>
  <c r="G64" i="32"/>
  <c r="M63" i="32"/>
  <c r="G63" i="32"/>
  <c r="M62" i="32"/>
  <c r="G62" i="32"/>
  <c r="H62" i="32" s="1"/>
  <c r="L60" i="32"/>
  <c r="L81" i="32" s="1"/>
  <c r="K60" i="32"/>
  <c r="J60" i="32"/>
  <c r="I60" i="32"/>
  <c r="M59" i="32"/>
  <c r="F59" i="32"/>
  <c r="H59" i="32" s="1"/>
  <c r="M58" i="32"/>
  <c r="G58" i="32"/>
  <c r="H58" i="32" s="1"/>
  <c r="M57" i="32"/>
  <c r="G57" i="32"/>
  <c r="H57" i="32" s="1"/>
  <c r="M56" i="32"/>
  <c r="D56" i="32"/>
  <c r="G56" i="32" s="1"/>
  <c r="H56" i="32" s="1"/>
  <c r="M55" i="32"/>
  <c r="D55" i="32"/>
  <c r="G55" i="32" s="1"/>
  <c r="H55" i="32" s="1"/>
  <c r="M54" i="32"/>
  <c r="D54" i="32"/>
  <c r="M53" i="32"/>
  <c r="D53" i="32"/>
  <c r="G53" i="32" s="1"/>
  <c r="H53" i="32" s="1"/>
  <c r="M52" i="32"/>
  <c r="D52" i="32"/>
  <c r="G52" i="32" s="1"/>
  <c r="H52" i="32" s="1"/>
  <c r="M51" i="32"/>
  <c r="D51" i="32"/>
  <c r="G51" i="32" s="1"/>
  <c r="H51" i="32" s="1"/>
  <c r="M50" i="32"/>
  <c r="D50" i="32"/>
  <c r="M49" i="32"/>
  <c r="D49" i="32"/>
  <c r="G49" i="32" s="1"/>
  <c r="H49" i="32" s="1"/>
  <c r="M48" i="32"/>
  <c r="D48" i="32"/>
  <c r="G48" i="32" s="1"/>
  <c r="H48" i="32" s="1"/>
  <c r="M47" i="32"/>
  <c r="D47" i="32"/>
  <c r="G47" i="32" s="1"/>
  <c r="H47" i="32" s="1"/>
  <c r="M46" i="32"/>
  <c r="D46" i="32"/>
  <c r="M45" i="32"/>
  <c r="D45" i="32"/>
  <c r="G45" i="32" s="1"/>
  <c r="H45" i="32" s="1"/>
  <c r="M44" i="32"/>
  <c r="D44" i="32"/>
  <c r="G44" i="32" s="1"/>
  <c r="H44" i="32" s="1"/>
  <c r="M43" i="32"/>
  <c r="D43" i="32"/>
  <c r="G43" i="32" s="1"/>
  <c r="H43" i="32" s="1"/>
  <c r="M42" i="32"/>
  <c r="D42" i="32"/>
  <c r="G42" i="32" s="1"/>
  <c r="H42" i="32" s="1"/>
  <c r="M41" i="32"/>
  <c r="D41" i="32"/>
  <c r="M40" i="32"/>
  <c r="D40" i="32"/>
  <c r="G40" i="32" s="1"/>
  <c r="H40" i="32" s="1"/>
  <c r="M39" i="32"/>
  <c r="D39" i="32"/>
  <c r="G39" i="32" s="1"/>
  <c r="H39" i="32" s="1"/>
  <c r="M38" i="32"/>
  <c r="D38" i="32"/>
  <c r="M37" i="32"/>
  <c r="D37" i="32"/>
  <c r="G37" i="32" s="1"/>
  <c r="H37" i="32" s="1"/>
  <c r="M35" i="32"/>
  <c r="M34" i="32"/>
  <c r="D34" i="32"/>
  <c r="M33" i="32"/>
  <c r="D33" i="32"/>
  <c r="G33" i="32" s="1"/>
  <c r="H33" i="32" s="1"/>
  <c r="M32" i="32"/>
  <c r="D32" i="32"/>
  <c r="M30" i="32"/>
  <c r="D30" i="32"/>
  <c r="K28" i="32"/>
  <c r="J28" i="32"/>
  <c r="I28" i="32"/>
  <c r="F28" i="32"/>
  <c r="D28" i="32"/>
  <c r="M27" i="32"/>
  <c r="H27" i="32"/>
  <c r="M25" i="32"/>
  <c r="H25" i="32"/>
  <c r="M23" i="32"/>
  <c r="H23" i="32"/>
  <c r="J21" i="32"/>
  <c r="I21" i="32"/>
  <c r="D21" i="32"/>
  <c r="M20" i="32"/>
  <c r="H20" i="32"/>
  <c r="M19" i="32"/>
  <c r="H19" i="32"/>
  <c r="M18" i="32"/>
  <c r="H18" i="32"/>
  <c r="M17" i="32"/>
  <c r="H17" i="32"/>
  <c r="M16" i="32"/>
  <c r="H16" i="32"/>
  <c r="M15" i="32"/>
  <c r="H15" i="32"/>
  <c r="M14" i="32"/>
  <c r="H14" i="32"/>
  <c r="M13" i="32"/>
  <c r="H13" i="32"/>
  <c r="M12" i="32"/>
  <c r="H12" i="32"/>
  <c r="M11" i="32"/>
  <c r="H11" i="32"/>
  <c r="M10" i="32"/>
  <c r="G21" i="32"/>
  <c r="F21" i="32"/>
  <c r="H73" i="32" l="1"/>
  <c r="G35" i="32"/>
  <c r="F35" i="32"/>
  <c r="H68" i="32"/>
  <c r="H63" i="32"/>
  <c r="H28" i="32"/>
  <c r="M60" i="32"/>
  <c r="G50" i="32"/>
  <c r="H50" i="32" s="1"/>
  <c r="G102" i="32"/>
  <c r="G36" i="32"/>
  <c r="H36" i="32" s="1"/>
  <c r="H64" i="32"/>
  <c r="G30" i="32"/>
  <c r="H30" i="32" s="1"/>
  <c r="G46" i="32"/>
  <c r="H46" i="32" s="1"/>
  <c r="H67" i="32"/>
  <c r="G38" i="32"/>
  <c r="H38" i="32" s="1"/>
  <c r="D60" i="32"/>
  <c r="M88" i="32"/>
  <c r="H101" i="32"/>
  <c r="G31" i="32"/>
  <c r="H31" i="32" s="1"/>
  <c r="G34" i="32"/>
  <c r="H34" i="32" s="1"/>
  <c r="G54" i="32"/>
  <c r="H54" i="32" s="1"/>
  <c r="M70" i="32"/>
  <c r="H69" i="32"/>
  <c r="M81" i="32"/>
  <c r="M102" i="32"/>
  <c r="M28" i="32"/>
  <c r="M21" i="32"/>
  <c r="H88" i="32"/>
  <c r="H81" i="32"/>
  <c r="F81" i="32"/>
  <c r="F88" i="32"/>
  <c r="F102" i="32" s="1"/>
  <c r="H10" i="32"/>
  <c r="H21" i="32" s="1"/>
  <c r="G28" i="32"/>
  <c r="G32" i="32"/>
  <c r="H32" i="32" s="1"/>
  <c r="F70" i="32"/>
  <c r="G41" i="32"/>
  <c r="H41" i="32" s="1"/>
  <c r="H65" i="32"/>
  <c r="G70" i="32"/>
  <c r="L132" i="31"/>
  <c r="K132" i="31"/>
  <c r="J132" i="31"/>
  <c r="I132" i="31"/>
  <c r="M118" i="31"/>
  <c r="L118" i="31"/>
  <c r="K118" i="31"/>
  <c r="J118" i="31"/>
  <c r="I118" i="31"/>
  <c r="I90" i="31"/>
  <c r="G131" i="31"/>
  <c r="G129" i="31"/>
  <c r="G127" i="31"/>
  <c r="H127" i="31" s="1"/>
  <c r="G103" i="31"/>
  <c r="G111" i="31" s="1"/>
  <c r="G99" i="31"/>
  <c r="G98" i="31"/>
  <c r="G97" i="31"/>
  <c r="G96" i="31"/>
  <c r="H96" i="31" s="1"/>
  <c r="G95" i="31"/>
  <c r="H95" i="31" s="1"/>
  <c r="G94" i="31"/>
  <c r="H94" i="31" s="1"/>
  <c r="G93" i="31"/>
  <c r="G92" i="31"/>
  <c r="G88" i="31"/>
  <c r="G86" i="31"/>
  <c r="G82" i="31"/>
  <c r="G80" i="31"/>
  <c r="G74" i="31"/>
  <c r="G72" i="31"/>
  <c r="G70" i="31"/>
  <c r="G68" i="31"/>
  <c r="G52" i="31"/>
  <c r="H52" i="31" s="1"/>
  <c r="G50" i="31"/>
  <c r="G46" i="31"/>
  <c r="H46" i="31" s="1"/>
  <c r="G45" i="31"/>
  <c r="H45" i="31" s="1"/>
  <c r="G34" i="31"/>
  <c r="H34" i="31" s="1"/>
  <c r="G33" i="31"/>
  <c r="H33" i="31" s="1"/>
  <c r="G32" i="31"/>
  <c r="G30" i="31"/>
  <c r="G27" i="31"/>
  <c r="H27" i="31" s="1"/>
  <c r="G25" i="31"/>
  <c r="G23" i="31"/>
  <c r="G20" i="31"/>
  <c r="G18" i="31"/>
  <c r="G19" i="31"/>
  <c r="G17" i="31"/>
  <c r="G16" i="31"/>
  <c r="H16" i="31" s="1"/>
  <c r="G15" i="31"/>
  <c r="H15" i="31" s="1"/>
  <c r="G14" i="31"/>
  <c r="H14" i="31" s="1"/>
  <c r="G13" i="31"/>
  <c r="H13" i="31" s="1"/>
  <c r="G12" i="31"/>
  <c r="G11" i="31"/>
  <c r="H11" i="31" s="1"/>
  <c r="G10" i="31"/>
  <c r="F131" i="31"/>
  <c r="F130" i="31"/>
  <c r="F128" i="31"/>
  <c r="H124" i="31"/>
  <c r="H125" i="31"/>
  <c r="F123" i="31"/>
  <c r="H123" i="31" s="1"/>
  <c r="F122" i="31"/>
  <c r="F121" i="31"/>
  <c r="F120" i="31"/>
  <c r="H120" i="31" s="1"/>
  <c r="F117" i="31"/>
  <c r="H117" i="31" s="1"/>
  <c r="F116" i="31"/>
  <c r="H116" i="31" s="1"/>
  <c r="F115" i="31"/>
  <c r="H115" i="31" s="1"/>
  <c r="F114" i="31"/>
  <c r="F113" i="31"/>
  <c r="F110" i="31"/>
  <c r="F109" i="31"/>
  <c r="H109" i="31" s="1"/>
  <c r="F108" i="31"/>
  <c r="H108" i="31" s="1"/>
  <c r="F107" i="31"/>
  <c r="H107" i="31" s="1"/>
  <c r="F106" i="31"/>
  <c r="H106" i="31" s="1"/>
  <c r="F105" i="31"/>
  <c r="H105" i="31" s="1"/>
  <c r="F104" i="31"/>
  <c r="F103" i="31"/>
  <c r="H103" i="31" s="1"/>
  <c r="F102" i="31"/>
  <c r="F99" i="31"/>
  <c r="F98" i="31"/>
  <c r="F97" i="31"/>
  <c r="F95" i="31"/>
  <c r="F94" i="31"/>
  <c r="F93" i="31"/>
  <c r="F89" i="31"/>
  <c r="H89" i="31" s="1"/>
  <c r="F87" i="31"/>
  <c r="H87" i="31" s="1"/>
  <c r="F83" i="31"/>
  <c r="F81" i="31"/>
  <c r="F79" i="31"/>
  <c r="F69" i="31"/>
  <c r="F67" i="31"/>
  <c r="F61" i="31"/>
  <c r="F59" i="31"/>
  <c r="F31" i="31"/>
  <c r="F20" i="31"/>
  <c r="F19" i="31"/>
  <c r="H19" i="31" s="1"/>
  <c r="F18" i="31"/>
  <c r="H18" i="31" s="1"/>
  <c r="F17" i="31"/>
  <c r="F16" i="31"/>
  <c r="F15" i="31"/>
  <c r="F14" i="31"/>
  <c r="F13" i="31"/>
  <c r="F11" i="31"/>
  <c r="F10" i="31"/>
  <c r="D132" i="31"/>
  <c r="M131" i="31"/>
  <c r="M130" i="31"/>
  <c r="H130" i="31"/>
  <c r="M129" i="31"/>
  <c r="H129" i="31"/>
  <c r="M128" i="31"/>
  <c r="H128" i="31"/>
  <c r="M126" i="31"/>
  <c r="F126" i="31"/>
  <c r="H126" i="31" s="1"/>
  <c r="M124" i="31"/>
  <c r="M122" i="31"/>
  <c r="H122" i="31"/>
  <c r="H121" i="31"/>
  <c r="M120" i="31"/>
  <c r="M132" i="31" s="1"/>
  <c r="G118" i="31"/>
  <c r="D118" i="31"/>
  <c r="M117" i="31"/>
  <c r="M116" i="31"/>
  <c r="M115" i="31"/>
  <c r="M114" i="31"/>
  <c r="H114" i="31"/>
  <c r="M113" i="31"/>
  <c r="K111" i="31"/>
  <c r="J111" i="31"/>
  <c r="I111" i="31"/>
  <c r="D111" i="31"/>
  <c r="M110" i="31"/>
  <c r="H110" i="31"/>
  <c r="M109" i="31"/>
  <c r="M108" i="31"/>
  <c r="M107" i="31"/>
  <c r="M106" i="31"/>
  <c r="M105" i="31"/>
  <c r="M104" i="31"/>
  <c r="H104" i="31"/>
  <c r="M103" i="31"/>
  <c r="M102" i="31"/>
  <c r="K100" i="31"/>
  <c r="J100" i="31"/>
  <c r="I100" i="31"/>
  <c r="D100" i="31"/>
  <c r="M99" i="31"/>
  <c r="H99" i="31"/>
  <c r="M98" i="31"/>
  <c r="H98" i="31"/>
  <c r="M97" i="31"/>
  <c r="H97" i="31"/>
  <c r="M96" i="31"/>
  <c r="M95" i="31"/>
  <c r="M94" i="31"/>
  <c r="M93" i="31"/>
  <c r="M92" i="31"/>
  <c r="H92" i="31"/>
  <c r="L90" i="31"/>
  <c r="L111" i="31" s="1"/>
  <c r="K90" i="31"/>
  <c r="J90" i="31"/>
  <c r="M89" i="31"/>
  <c r="M88" i="31"/>
  <c r="H88" i="31"/>
  <c r="M87" i="31"/>
  <c r="M86" i="31"/>
  <c r="H86" i="31"/>
  <c r="M85" i="31"/>
  <c r="M84" i="31"/>
  <c r="D84" i="31"/>
  <c r="G84" i="31" s="1"/>
  <c r="H84" i="31" s="1"/>
  <c r="M83" i="31"/>
  <c r="M82" i="31"/>
  <c r="D82" i="31"/>
  <c r="M81" i="31"/>
  <c r="M80" i="31"/>
  <c r="D80" i="31"/>
  <c r="M79" i="31"/>
  <c r="M78" i="31"/>
  <c r="D78" i="31"/>
  <c r="G78" i="31" s="1"/>
  <c r="M77" i="31"/>
  <c r="M76" i="31"/>
  <c r="D76" i="31"/>
  <c r="F77" i="31" s="1"/>
  <c r="M75" i="31"/>
  <c r="M74" i="31"/>
  <c r="D74" i="31"/>
  <c r="M73" i="31"/>
  <c r="M72" i="31"/>
  <c r="D72" i="31"/>
  <c r="F73" i="31" s="1"/>
  <c r="M71" i="31"/>
  <c r="M70" i="31"/>
  <c r="D70" i="31"/>
  <c r="M69" i="31"/>
  <c r="M68" i="31"/>
  <c r="H68" i="31"/>
  <c r="D68" i="31"/>
  <c r="M67" i="31"/>
  <c r="M66" i="31"/>
  <c r="D66" i="31"/>
  <c r="G66" i="31" s="1"/>
  <c r="M65" i="31"/>
  <c r="M64" i="31"/>
  <c r="D64" i="31"/>
  <c r="G64" i="31" s="1"/>
  <c r="M63" i="31"/>
  <c r="M62" i="31"/>
  <c r="D62" i="31"/>
  <c r="G62" i="31" s="1"/>
  <c r="M61" i="31"/>
  <c r="M60" i="31"/>
  <c r="D60" i="31"/>
  <c r="G60" i="31" s="1"/>
  <c r="H60" i="31" s="1"/>
  <c r="M59" i="31"/>
  <c r="M58" i="31"/>
  <c r="D58" i="31"/>
  <c r="G58" i="31" s="1"/>
  <c r="M57" i="31"/>
  <c r="M56" i="31"/>
  <c r="D56" i="31"/>
  <c r="G56" i="31" s="1"/>
  <c r="M55" i="31"/>
  <c r="M54" i="31"/>
  <c r="D54" i="31"/>
  <c r="G54" i="31" s="1"/>
  <c r="M53" i="31"/>
  <c r="M52" i="31"/>
  <c r="D52" i="31"/>
  <c r="M51" i="31"/>
  <c r="M50" i="31"/>
  <c r="D50" i="31"/>
  <c r="M49" i="31"/>
  <c r="M48" i="31"/>
  <c r="D48" i="31"/>
  <c r="F49" i="31" s="1"/>
  <c r="M47" i="31"/>
  <c r="M46" i="31"/>
  <c r="D46" i="31"/>
  <c r="F47" i="31" s="1"/>
  <c r="M44" i="31"/>
  <c r="F44" i="31"/>
  <c r="M43" i="31"/>
  <c r="M42" i="31"/>
  <c r="D42" i="31"/>
  <c r="G44" i="31" s="1"/>
  <c r="M40" i="31"/>
  <c r="F40" i="31"/>
  <c r="M39" i="31"/>
  <c r="M38" i="31"/>
  <c r="D38" i="31"/>
  <c r="G38" i="31" s="1"/>
  <c r="M37" i="31"/>
  <c r="M36" i="31"/>
  <c r="F36" i="31"/>
  <c r="M35" i="31"/>
  <c r="M34" i="31"/>
  <c r="D34" i="31"/>
  <c r="F35" i="31" s="1"/>
  <c r="M32" i="31"/>
  <c r="F32" i="31"/>
  <c r="M31" i="31"/>
  <c r="M30" i="31"/>
  <c r="D30" i="31"/>
  <c r="K28" i="31"/>
  <c r="I28" i="31"/>
  <c r="F28" i="31"/>
  <c r="D28" i="31"/>
  <c r="M27" i="31"/>
  <c r="M25" i="31"/>
  <c r="H25" i="31"/>
  <c r="J28" i="31"/>
  <c r="H23" i="31"/>
  <c r="G28" i="31"/>
  <c r="K21" i="31"/>
  <c r="J21" i="31"/>
  <c r="I21" i="31"/>
  <c r="D21" i="31"/>
  <c r="J20" i="31"/>
  <c r="M20" i="31" s="1"/>
  <c r="J19" i="31"/>
  <c r="M19" i="31" s="1"/>
  <c r="J18" i="31"/>
  <c r="M18" i="31" s="1"/>
  <c r="M17" i="31"/>
  <c r="H17" i="31"/>
  <c r="M16" i="31"/>
  <c r="M15" i="31"/>
  <c r="M14" i="31"/>
  <c r="M13" i="31"/>
  <c r="M12" i="31"/>
  <c r="F12" i="31"/>
  <c r="M11" i="31"/>
  <c r="M10" i="31"/>
  <c r="F55" i="31" l="1"/>
  <c r="H70" i="31"/>
  <c r="M111" i="31"/>
  <c r="F63" i="31"/>
  <c r="F65" i="31"/>
  <c r="G36" i="31"/>
  <c r="H36" i="31" s="1"/>
  <c r="H44" i="31"/>
  <c r="H53" i="31"/>
  <c r="F71" i="31"/>
  <c r="G40" i="31"/>
  <c r="H40" i="31" s="1"/>
  <c r="H54" i="31"/>
  <c r="F85" i="31"/>
  <c r="H85" i="31" s="1"/>
  <c r="G76" i="31"/>
  <c r="H76" i="31" s="1"/>
  <c r="F39" i="31"/>
  <c r="H93" i="31"/>
  <c r="H100" i="31" s="1"/>
  <c r="G37" i="31"/>
  <c r="H37" i="31" s="1"/>
  <c r="H74" i="31"/>
  <c r="H20" i="31"/>
  <c r="G41" i="31"/>
  <c r="H41" i="31" s="1"/>
  <c r="F57" i="31"/>
  <c r="H57" i="31" s="1"/>
  <c r="H12" i="31"/>
  <c r="H56" i="31"/>
  <c r="H81" i="31"/>
  <c r="F43" i="31"/>
  <c r="H47" i="31"/>
  <c r="H61" i="31"/>
  <c r="H82" i="31"/>
  <c r="F51" i="31"/>
  <c r="H51" i="31" s="1"/>
  <c r="F75" i="31"/>
  <c r="G42" i="31"/>
  <c r="H42" i="31" s="1"/>
  <c r="H49" i="31"/>
  <c r="G48" i="31"/>
  <c r="H48" i="31" s="1"/>
  <c r="H78" i="31"/>
  <c r="H58" i="31"/>
  <c r="M100" i="31"/>
  <c r="F53" i="31"/>
  <c r="H10" i="31"/>
  <c r="H21" i="31" s="1"/>
  <c r="H35" i="32"/>
  <c r="H102" i="32"/>
  <c r="H70" i="32"/>
  <c r="G60" i="32"/>
  <c r="H60" i="32"/>
  <c r="F60" i="32"/>
  <c r="M90" i="31"/>
  <c r="M21" i="31"/>
  <c r="G100" i="31"/>
  <c r="H72" i="31"/>
  <c r="H62" i="31"/>
  <c r="H28" i="31"/>
  <c r="H131" i="31"/>
  <c r="G132" i="31"/>
  <c r="F111" i="31"/>
  <c r="F100" i="31"/>
  <c r="H77" i="31"/>
  <c r="H69" i="31"/>
  <c r="H67" i="31"/>
  <c r="H65" i="31"/>
  <c r="F21" i="31"/>
  <c r="H31" i="31"/>
  <c r="H39" i="31"/>
  <c r="H59" i="31"/>
  <c r="H75" i="31"/>
  <c r="G21" i="31"/>
  <c r="H32" i="31"/>
  <c r="H43" i="31"/>
  <c r="H50" i="31"/>
  <c r="H66" i="31"/>
  <c r="H73" i="31"/>
  <c r="M23" i="31"/>
  <c r="M28" i="31" s="1"/>
  <c r="H35" i="31"/>
  <c r="H55" i="31"/>
  <c r="H63" i="31"/>
  <c r="H64" i="31"/>
  <c r="H71" i="31"/>
  <c r="H79" i="31"/>
  <c r="H80" i="31"/>
  <c r="D90" i="31"/>
  <c r="H102" i="31"/>
  <c r="H111" i="31" s="1"/>
  <c r="H113" i="31"/>
  <c r="F118" i="31"/>
  <c r="F132" i="31" s="1"/>
  <c r="H83" i="31"/>
  <c r="H38" i="31"/>
  <c r="J114" i="30"/>
  <c r="F115" i="30"/>
  <c r="M44" i="30"/>
  <c r="F44" i="30"/>
  <c r="M37" i="30"/>
  <c r="M36" i="30"/>
  <c r="F36" i="30"/>
  <c r="H118" i="31" l="1"/>
  <c r="H132" i="31" s="1"/>
  <c r="H30" i="31"/>
  <c r="H90" i="31" s="1"/>
  <c r="G90" i="31"/>
  <c r="F90" i="31"/>
  <c r="M32" i="30"/>
  <c r="F32" i="30"/>
  <c r="M40" i="30" l="1"/>
  <c r="F40" i="30"/>
  <c r="J23" i="30" l="1"/>
  <c r="G88" i="30" l="1"/>
  <c r="H88" i="30" s="1"/>
  <c r="G86" i="30"/>
  <c r="H86" i="30" s="1"/>
  <c r="G42" i="30"/>
  <c r="G27" i="30"/>
  <c r="G25" i="30"/>
  <c r="H25" i="30" s="1"/>
  <c r="G23" i="30"/>
  <c r="H23" i="30" s="1"/>
  <c r="M27" i="30"/>
  <c r="H27" i="30"/>
  <c r="J20" i="30"/>
  <c r="M20" i="30" s="1"/>
  <c r="J19" i="30"/>
  <c r="M19" i="30" s="1"/>
  <c r="J18" i="30"/>
  <c r="M18" i="30" s="1"/>
  <c r="G20" i="30"/>
  <c r="F20" i="30"/>
  <c r="H20" i="30" s="1"/>
  <c r="G19" i="30"/>
  <c r="F19" i="30"/>
  <c r="G18" i="30"/>
  <c r="F18" i="30"/>
  <c r="G17" i="30"/>
  <c r="H17" i="30" s="1"/>
  <c r="G13" i="30"/>
  <c r="G12" i="30"/>
  <c r="G11" i="30"/>
  <c r="F11" i="30"/>
  <c r="F12" i="30"/>
  <c r="F13" i="30"/>
  <c r="G99" i="30"/>
  <c r="G98" i="30"/>
  <c r="G97" i="30"/>
  <c r="G96" i="30"/>
  <c r="H96" i="30" s="1"/>
  <c r="G95" i="30"/>
  <c r="G94" i="30"/>
  <c r="G93" i="30"/>
  <c r="G92" i="30"/>
  <c r="H92" i="30" s="1"/>
  <c r="D132" i="30"/>
  <c r="M131" i="30"/>
  <c r="G131" i="30"/>
  <c r="F131" i="30"/>
  <c r="M130" i="30"/>
  <c r="F130" i="30"/>
  <c r="H130" i="30" s="1"/>
  <c r="M129" i="30"/>
  <c r="G129" i="30"/>
  <c r="H129" i="30" s="1"/>
  <c r="M128" i="30"/>
  <c r="F128" i="30"/>
  <c r="H128" i="30" s="1"/>
  <c r="G127" i="30"/>
  <c r="M126" i="30"/>
  <c r="F126" i="30"/>
  <c r="H126" i="30" s="1"/>
  <c r="H125" i="30"/>
  <c r="M124" i="30"/>
  <c r="H124" i="30"/>
  <c r="F123" i="30"/>
  <c r="H123" i="30" s="1"/>
  <c r="M122" i="30"/>
  <c r="F122" i="30"/>
  <c r="H122" i="30" s="1"/>
  <c r="F121" i="30"/>
  <c r="H121" i="30" s="1"/>
  <c r="M120" i="30"/>
  <c r="F120" i="30"/>
  <c r="H120" i="30" s="1"/>
  <c r="G118" i="30"/>
  <c r="D118" i="30"/>
  <c r="M117" i="30"/>
  <c r="F117" i="30"/>
  <c r="H117" i="30" s="1"/>
  <c r="M116" i="30"/>
  <c r="F116" i="30"/>
  <c r="H116" i="30" s="1"/>
  <c r="M115" i="30"/>
  <c r="H115" i="30"/>
  <c r="M114" i="30"/>
  <c r="F114" i="30"/>
  <c r="H114" i="30" s="1"/>
  <c r="M113" i="30"/>
  <c r="F113" i="30"/>
  <c r="K111" i="30"/>
  <c r="J111" i="30"/>
  <c r="I111" i="30"/>
  <c r="D111" i="30"/>
  <c r="M110" i="30"/>
  <c r="F110" i="30"/>
  <c r="H110" i="30" s="1"/>
  <c r="M109" i="30"/>
  <c r="F109" i="30"/>
  <c r="H109" i="30" s="1"/>
  <c r="M108" i="30"/>
  <c r="F108" i="30"/>
  <c r="H108" i="30" s="1"/>
  <c r="M107" i="30"/>
  <c r="F107" i="30"/>
  <c r="H107" i="30" s="1"/>
  <c r="M106" i="30"/>
  <c r="F106" i="30"/>
  <c r="H106" i="30" s="1"/>
  <c r="M105" i="30"/>
  <c r="F105" i="30"/>
  <c r="H105" i="30" s="1"/>
  <c r="M104" i="30"/>
  <c r="H104" i="30"/>
  <c r="M103" i="30"/>
  <c r="G103" i="30"/>
  <c r="G111" i="30" s="1"/>
  <c r="F103" i="30"/>
  <c r="M102" i="30"/>
  <c r="F102" i="30"/>
  <c r="H102" i="30" s="1"/>
  <c r="K100" i="30"/>
  <c r="J100" i="30"/>
  <c r="I100" i="30"/>
  <c r="D100" i="30"/>
  <c r="M99" i="30"/>
  <c r="F99" i="30"/>
  <c r="M98" i="30"/>
  <c r="F98" i="30"/>
  <c r="M97" i="30"/>
  <c r="F97" i="30"/>
  <c r="M96" i="30"/>
  <c r="M95" i="30"/>
  <c r="F95" i="30"/>
  <c r="M94" i="30"/>
  <c r="F94" i="30"/>
  <c r="M93" i="30"/>
  <c r="F93" i="30"/>
  <c r="M92" i="30"/>
  <c r="L90" i="30"/>
  <c r="L111" i="30" s="1"/>
  <c r="K90" i="30"/>
  <c r="J90" i="30"/>
  <c r="I90" i="30"/>
  <c r="M89" i="30"/>
  <c r="F89" i="30"/>
  <c r="H89" i="30" s="1"/>
  <c r="M88" i="30"/>
  <c r="M87" i="30"/>
  <c r="F87" i="30"/>
  <c r="H87" i="30" s="1"/>
  <c r="M86" i="30"/>
  <c r="M85" i="30"/>
  <c r="M84" i="30"/>
  <c r="D84" i="30"/>
  <c r="F85" i="30" s="1"/>
  <c r="H85" i="30" s="1"/>
  <c r="M83" i="30"/>
  <c r="M82" i="30"/>
  <c r="D82" i="30"/>
  <c r="F83" i="30" s="1"/>
  <c r="H83" i="30" s="1"/>
  <c r="M81" i="30"/>
  <c r="M80" i="30"/>
  <c r="D80" i="30"/>
  <c r="G80" i="30" s="1"/>
  <c r="M79" i="30"/>
  <c r="M78" i="30"/>
  <c r="D78" i="30"/>
  <c r="M77" i="30"/>
  <c r="M76" i="30"/>
  <c r="D76" i="30"/>
  <c r="F77" i="30" s="1"/>
  <c r="H77" i="30" s="1"/>
  <c r="M75" i="30"/>
  <c r="M74" i="30"/>
  <c r="D74" i="30"/>
  <c r="F75" i="30" s="1"/>
  <c r="H75" i="30" s="1"/>
  <c r="M73" i="30"/>
  <c r="M72" i="30"/>
  <c r="D72" i="30"/>
  <c r="G72" i="30" s="1"/>
  <c r="M71" i="30"/>
  <c r="M70" i="30"/>
  <c r="D70" i="30"/>
  <c r="G70" i="30" s="1"/>
  <c r="M69" i="30"/>
  <c r="M68" i="30"/>
  <c r="D68" i="30"/>
  <c r="F69" i="30" s="1"/>
  <c r="H69" i="30" s="1"/>
  <c r="M67" i="30"/>
  <c r="M66" i="30"/>
  <c r="D66" i="30"/>
  <c r="F67" i="30" s="1"/>
  <c r="H67" i="30" s="1"/>
  <c r="M65" i="30"/>
  <c r="M64" i="30"/>
  <c r="D64" i="30"/>
  <c r="G64" i="30" s="1"/>
  <c r="M63" i="30"/>
  <c r="M62" i="30"/>
  <c r="D62" i="30"/>
  <c r="G62" i="30" s="1"/>
  <c r="M61" i="30"/>
  <c r="M60" i="30"/>
  <c r="D60" i="30"/>
  <c r="F61" i="30" s="1"/>
  <c r="H61" i="30" s="1"/>
  <c r="M59" i="30"/>
  <c r="M58" i="30"/>
  <c r="D58" i="30"/>
  <c r="F59" i="30" s="1"/>
  <c r="H59" i="30" s="1"/>
  <c r="M57" i="30"/>
  <c r="M56" i="30"/>
  <c r="D56" i="30"/>
  <c r="G56" i="30" s="1"/>
  <c r="M55" i="30"/>
  <c r="M54" i="30"/>
  <c r="D54" i="30"/>
  <c r="M53" i="30"/>
  <c r="M52" i="30"/>
  <c r="D52" i="30"/>
  <c r="F53" i="30" s="1"/>
  <c r="H53" i="30" s="1"/>
  <c r="M51" i="30"/>
  <c r="M50" i="30"/>
  <c r="D50" i="30"/>
  <c r="F51" i="30" s="1"/>
  <c r="M49" i="30"/>
  <c r="M48" i="30"/>
  <c r="D48" i="30"/>
  <c r="G48" i="30" s="1"/>
  <c r="M47" i="30"/>
  <c r="M46" i="30"/>
  <c r="D46" i="30"/>
  <c r="M43" i="30"/>
  <c r="M42" i="30"/>
  <c r="D42" i="30"/>
  <c r="M39" i="30"/>
  <c r="M38" i="30"/>
  <c r="D38" i="30"/>
  <c r="F39" i="30" s="1"/>
  <c r="M35" i="30"/>
  <c r="M34" i="30"/>
  <c r="D34" i="30"/>
  <c r="M31" i="30"/>
  <c r="M30" i="30"/>
  <c r="D30" i="30"/>
  <c r="K28" i="30"/>
  <c r="J28" i="30"/>
  <c r="I28" i="30"/>
  <c r="F28" i="30"/>
  <c r="D28" i="30"/>
  <c r="M25" i="30"/>
  <c r="M23" i="30"/>
  <c r="K21" i="30"/>
  <c r="J21" i="30"/>
  <c r="I21" i="30"/>
  <c r="D21" i="30"/>
  <c r="M17" i="30"/>
  <c r="M16" i="30"/>
  <c r="G16" i="30"/>
  <c r="F16" i="30"/>
  <c r="M15" i="30"/>
  <c r="G15" i="30"/>
  <c r="F15" i="30"/>
  <c r="M14" i="30"/>
  <c r="G14" i="30"/>
  <c r="F14" i="30"/>
  <c r="M13" i="30"/>
  <c r="M12" i="30"/>
  <c r="M11" i="30"/>
  <c r="M10" i="30"/>
  <c r="G10" i="30"/>
  <c r="F10" i="30"/>
  <c r="G76" i="30" l="1"/>
  <c r="H98" i="30"/>
  <c r="F43" i="30"/>
  <c r="H43" i="30" s="1"/>
  <c r="G45" i="30"/>
  <c r="H45" i="30" s="1"/>
  <c r="G44" i="30"/>
  <c r="H44" i="30" s="1"/>
  <c r="H99" i="30"/>
  <c r="G60" i="30"/>
  <c r="F35" i="30"/>
  <c r="H35" i="30" s="1"/>
  <c r="G37" i="30"/>
  <c r="H37" i="30" s="1"/>
  <c r="G36" i="30"/>
  <c r="H36" i="30" s="1"/>
  <c r="G34" i="30"/>
  <c r="H34" i="30" s="1"/>
  <c r="F49" i="30"/>
  <c r="H49" i="30" s="1"/>
  <c r="H95" i="30"/>
  <c r="F31" i="30"/>
  <c r="G32" i="30"/>
  <c r="H32" i="30" s="1"/>
  <c r="G33" i="30"/>
  <c r="H33" i="30" s="1"/>
  <c r="G52" i="30"/>
  <c r="H52" i="30" s="1"/>
  <c r="G68" i="30"/>
  <c r="H68" i="30" s="1"/>
  <c r="G84" i="30"/>
  <c r="H84" i="30" s="1"/>
  <c r="G30" i="30"/>
  <c r="G46" i="30"/>
  <c r="H46" i="30" s="1"/>
  <c r="G54" i="30"/>
  <c r="H54" i="30" s="1"/>
  <c r="G78" i="30"/>
  <c r="H78" i="30" s="1"/>
  <c r="G41" i="30"/>
  <c r="H41" i="30" s="1"/>
  <c r="G40" i="30"/>
  <c r="H40" i="30" s="1"/>
  <c r="H48" i="30"/>
  <c r="H56" i="30"/>
  <c r="H64" i="30"/>
  <c r="H72" i="30"/>
  <c r="H80" i="30"/>
  <c r="H19" i="30"/>
  <c r="G38" i="30"/>
  <c r="H38" i="30" s="1"/>
  <c r="G50" i="30"/>
  <c r="H50" i="30" s="1"/>
  <c r="G58" i="30"/>
  <c r="H58" i="30" s="1"/>
  <c r="G66" i="30"/>
  <c r="H66" i="30" s="1"/>
  <c r="G74" i="30"/>
  <c r="H74" i="30" s="1"/>
  <c r="G82" i="30"/>
  <c r="H82" i="30" s="1"/>
  <c r="H51" i="30"/>
  <c r="H39" i="30"/>
  <c r="H70" i="30"/>
  <c r="H62" i="30"/>
  <c r="H18" i="30"/>
  <c r="H97" i="30"/>
  <c r="H94" i="30"/>
  <c r="M28" i="30"/>
  <c r="H11" i="30"/>
  <c r="H15" i="30"/>
  <c r="H42" i="30"/>
  <c r="M90" i="30"/>
  <c r="M111" i="30"/>
  <c r="H14" i="30"/>
  <c r="H131" i="30"/>
  <c r="G21" i="30"/>
  <c r="H13" i="30"/>
  <c r="M100" i="30"/>
  <c r="F21" i="30"/>
  <c r="H28" i="30"/>
  <c r="H60" i="30"/>
  <c r="H76" i="30"/>
  <c r="M21" i="30"/>
  <c r="H12" i="30"/>
  <c r="H16" i="30"/>
  <c r="F57" i="30"/>
  <c r="H57" i="30" s="1"/>
  <c r="G28" i="30"/>
  <c r="F118" i="30"/>
  <c r="F132" i="30" s="1"/>
  <c r="H113" i="30"/>
  <c r="G132" i="30"/>
  <c r="H127" i="30"/>
  <c r="H31" i="30"/>
  <c r="F100" i="30"/>
  <c r="H93" i="30"/>
  <c r="H10" i="30"/>
  <c r="D90" i="30"/>
  <c r="F65" i="30"/>
  <c r="H65" i="30" s="1"/>
  <c r="F73" i="30"/>
  <c r="H73" i="30" s="1"/>
  <c r="F81" i="30"/>
  <c r="H81" i="30" s="1"/>
  <c r="G100" i="30"/>
  <c r="H103" i="30"/>
  <c r="H111" i="30" s="1"/>
  <c r="F111" i="30"/>
  <c r="F47" i="30"/>
  <c r="H47" i="30" s="1"/>
  <c r="F55" i="30"/>
  <c r="H55" i="30" s="1"/>
  <c r="F63" i="30"/>
  <c r="H63" i="30" s="1"/>
  <c r="F71" i="30"/>
  <c r="H71" i="30" s="1"/>
  <c r="F79" i="30"/>
  <c r="H79" i="30" s="1"/>
  <c r="G98" i="29"/>
  <c r="D128" i="29"/>
  <c r="G22" i="29"/>
  <c r="G20" i="29"/>
  <c r="F108" i="29"/>
  <c r="G114" i="29"/>
  <c r="M125" i="29"/>
  <c r="M127" i="29"/>
  <c r="M88" i="29"/>
  <c r="M85" i="29"/>
  <c r="M83" i="29"/>
  <c r="M81" i="29"/>
  <c r="M77" i="29"/>
  <c r="M75" i="29"/>
  <c r="M73" i="29"/>
  <c r="M71" i="29"/>
  <c r="M69" i="29"/>
  <c r="M67" i="29"/>
  <c r="M65" i="29"/>
  <c r="M63" i="29"/>
  <c r="M61" i="29"/>
  <c r="M59" i="29"/>
  <c r="M57" i="29"/>
  <c r="M55" i="29"/>
  <c r="M53" i="29"/>
  <c r="M51" i="29"/>
  <c r="M49" i="29"/>
  <c r="M47" i="29"/>
  <c r="M45" i="29"/>
  <c r="M43" i="29"/>
  <c r="M41" i="29"/>
  <c r="M39" i="29"/>
  <c r="M37" i="29"/>
  <c r="M35" i="29"/>
  <c r="M33" i="29"/>
  <c r="M31" i="29"/>
  <c r="M29" i="29"/>
  <c r="M27" i="29"/>
  <c r="G16" i="29"/>
  <c r="F16" i="29"/>
  <c r="F15" i="29"/>
  <c r="G15" i="29"/>
  <c r="G14" i="29"/>
  <c r="F14" i="29"/>
  <c r="F13" i="29"/>
  <c r="F12" i="29"/>
  <c r="F11" i="29"/>
  <c r="G10" i="29"/>
  <c r="F10" i="29"/>
  <c r="F93" i="29"/>
  <c r="F91" i="29"/>
  <c r="F89" i="29"/>
  <c r="F87" i="29"/>
  <c r="F86" i="29"/>
  <c r="F84" i="29"/>
  <c r="F82" i="29"/>
  <c r="F80" i="29"/>
  <c r="H121" i="29"/>
  <c r="H100" i="30" l="1"/>
  <c r="H21" i="30"/>
  <c r="H30" i="30"/>
  <c r="H90" i="30" s="1"/>
  <c r="G90" i="30"/>
  <c r="F90" i="30"/>
  <c r="H118" i="30"/>
  <c r="H132" i="30" s="1"/>
  <c r="F77" i="29"/>
  <c r="H77" i="29" s="1"/>
  <c r="F75" i="29"/>
  <c r="H75" i="29" s="1"/>
  <c r="G92" i="29" l="1"/>
  <c r="H92" i="29" s="1"/>
  <c r="M91" i="29"/>
  <c r="H91" i="29"/>
  <c r="J95" i="29"/>
  <c r="G94" i="29"/>
  <c r="H94" i="29" s="1"/>
  <c r="G81" i="29"/>
  <c r="H81" i="29" s="1"/>
  <c r="G90" i="29"/>
  <c r="H90" i="29" s="1"/>
  <c r="G88" i="29"/>
  <c r="H88" i="29" s="1"/>
  <c r="G85" i="29"/>
  <c r="H85" i="29" s="1"/>
  <c r="G83" i="29"/>
  <c r="H83" i="29" s="1"/>
  <c r="F127" i="29"/>
  <c r="G127" i="29"/>
  <c r="G125" i="29"/>
  <c r="H125" i="29" s="1"/>
  <c r="G123" i="29"/>
  <c r="F119" i="29"/>
  <c r="H119" i="29" s="1"/>
  <c r="F117" i="29"/>
  <c r="H117" i="29" s="1"/>
  <c r="M126" i="29"/>
  <c r="F126" i="29"/>
  <c r="H126" i="29" s="1"/>
  <c r="M124" i="29"/>
  <c r="F124" i="29"/>
  <c r="H124" i="29" s="1"/>
  <c r="M122" i="29"/>
  <c r="F122" i="29"/>
  <c r="H122" i="29" s="1"/>
  <c r="M120" i="29"/>
  <c r="H120" i="29"/>
  <c r="M118" i="29"/>
  <c r="F118" i="29"/>
  <c r="H118" i="29" s="1"/>
  <c r="M116" i="29"/>
  <c r="F116" i="29"/>
  <c r="H116" i="29" s="1"/>
  <c r="D114" i="29"/>
  <c r="M113" i="29"/>
  <c r="F113" i="29"/>
  <c r="H113" i="29" s="1"/>
  <c r="M112" i="29"/>
  <c r="F112" i="29"/>
  <c r="M111" i="29"/>
  <c r="H111" i="29"/>
  <c r="M110" i="29"/>
  <c r="F110" i="29"/>
  <c r="M109" i="29"/>
  <c r="H109" i="29"/>
  <c r="M108" i="29"/>
  <c r="H108" i="29"/>
  <c r="K106" i="29"/>
  <c r="J106" i="29"/>
  <c r="I106" i="29"/>
  <c r="G106" i="29"/>
  <c r="D106" i="29"/>
  <c r="M105" i="29"/>
  <c r="F105" i="29"/>
  <c r="H105" i="29" s="1"/>
  <c r="M104" i="29"/>
  <c r="F104" i="29"/>
  <c r="H104" i="29" s="1"/>
  <c r="M103" i="29"/>
  <c r="F103" i="29"/>
  <c r="H103" i="29" s="1"/>
  <c r="M102" i="29"/>
  <c r="F102" i="29"/>
  <c r="H102" i="29" s="1"/>
  <c r="M101" i="29"/>
  <c r="F101" i="29"/>
  <c r="H101" i="29" s="1"/>
  <c r="M100" i="29"/>
  <c r="F100" i="29"/>
  <c r="H100" i="29" s="1"/>
  <c r="M99" i="29"/>
  <c r="H99" i="29"/>
  <c r="M98" i="29"/>
  <c r="F98" i="29"/>
  <c r="H98" i="29" s="1"/>
  <c r="M97" i="29"/>
  <c r="F97" i="29"/>
  <c r="H97" i="29" s="1"/>
  <c r="K95" i="29"/>
  <c r="I95" i="29"/>
  <c r="D95" i="29"/>
  <c r="M93" i="29"/>
  <c r="H93" i="29"/>
  <c r="M89" i="29"/>
  <c r="H89" i="29"/>
  <c r="M87" i="29"/>
  <c r="H87" i="29"/>
  <c r="M86" i="29"/>
  <c r="H86" i="29"/>
  <c r="M84" i="29"/>
  <c r="H84" i="29"/>
  <c r="M82" i="29"/>
  <c r="H82" i="29"/>
  <c r="M80" i="29"/>
  <c r="H80" i="29"/>
  <c r="L78" i="29"/>
  <c r="L106" i="29" s="1"/>
  <c r="K78" i="29"/>
  <c r="J78" i="29"/>
  <c r="I78" i="29"/>
  <c r="M76" i="29"/>
  <c r="G76" i="29"/>
  <c r="H76" i="29" s="1"/>
  <c r="M74" i="29"/>
  <c r="G74" i="29"/>
  <c r="H74" i="29" s="1"/>
  <c r="M72" i="29"/>
  <c r="D72" i="29"/>
  <c r="M70" i="29"/>
  <c r="D70" i="29"/>
  <c r="M68" i="29"/>
  <c r="D68" i="29"/>
  <c r="M66" i="29"/>
  <c r="D66" i="29"/>
  <c r="M64" i="29"/>
  <c r="D64" i="29"/>
  <c r="M62" i="29"/>
  <c r="D62" i="29"/>
  <c r="M60" i="29"/>
  <c r="D60" i="29"/>
  <c r="M58" i="29"/>
  <c r="D58" i="29"/>
  <c r="M56" i="29"/>
  <c r="D56" i="29"/>
  <c r="M54" i="29"/>
  <c r="D54" i="29"/>
  <c r="M52" i="29"/>
  <c r="D52" i="29"/>
  <c r="M50" i="29"/>
  <c r="D50" i="29"/>
  <c r="M48" i="29"/>
  <c r="D48" i="29"/>
  <c r="M46" i="29"/>
  <c r="D46" i="29"/>
  <c r="M44" i="29"/>
  <c r="D44" i="29"/>
  <c r="G44" i="29" s="1"/>
  <c r="H44" i="29" s="1"/>
  <c r="M42" i="29"/>
  <c r="D42" i="29"/>
  <c r="M40" i="29"/>
  <c r="D40" i="29"/>
  <c r="M38" i="29"/>
  <c r="D38" i="29"/>
  <c r="M36" i="29"/>
  <c r="D36" i="29"/>
  <c r="M34" i="29"/>
  <c r="D34" i="29"/>
  <c r="M32" i="29"/>
  <c r="D32" i="29"/>
  <c r="M30" i="29"/>
  <c r="D30" i="29"/>
  <c r="M28" i="29"/>
  <c r="D28" i="29"/>
  <c r="M26" i="29"/>
  <c r="D26" i="29"/>
  <c r="F27" i="29" s="1"/>
  <c r="H27" i="29" s="1"/>
  <c r="K24" i="29"/>
  <c r="J24" i="29"/>
  <c r="I24" i="29"/>
  <c r="G24" i="29"/>
  <c r="F24" i="29"/>
  <c r="D24" i="29"/>
  <c r="M22" i="29"/>
  <c r="H22" i="29"/>
  <c r="M20" i="29"/>
  <c r="H20" i="29"/>
  <c r="K18" i="29"/>
  <c r="J18" i="29"/>
  <c r="I18" i="29"/>
  <c r="D18" i="29"/>
  <c r="M17" i="29"/>
  <c r="H17" i="29"/>
  <c r="M16" i="29"/>
  <c r="H16" i="29"/>
  <c r="M15" i="29"/>
  <c r="H15" i="29"/>
  <c r="M14" i="29"/>
  <c r="H14" i="29"/>
  <c r="M13" i="29"/>
  <c r="G13" i="29"/>
  <c r="H13" i="29" s="1"/>
  <c r="M12" i="29"/>
  <c r="G12" i="29"/>
  <c r="H12" i="29" s="1"/>
  <c r="M11" i="29"/>
  <c r="G11" i="29"/>
  <c r="H11" i="29" s="1"/>
  <c r="M10" i="29"/>
  <c r="H10" i="29"/>
  <c r="G128" i="29" l="1"/>
  <c r="H110" i="29"/>
  <c r="F114" i="29"/>
  <c r="F128" i="29" s="1"/>
  <c r="H127" i="29"/>
  <c r="H123" i="29"/>
  <c r="H24" i="29"/>
  <c r="G30" i="29"/>
  <c r="H30" i="29" s="1"/>
  <c r="F31" i="29"/>
  <c r="H31" i="29" s="1"/>
  <c r="G34" i="29"/>
  <c r="H34" i="29" s="1"/>
  <c r="F35" i="29"/>
  <c r="H35" i="29" s="1"/>
  <c r="G38" i="29"/>
  <c r="H38" i="29" s="1"/>
  <c r="F39" i="29"/>
  <c r="H39" i="29" s="1"/>
  <c r="G42" i="29"/>
  <c r="H42" i="29" s="1"/>
  <c r="F43" i="29"/>
  <c r="H43" i="29" s="1"/>
  <c r="F45" i="29"/>
  <c r="H45" i="29" s="1"/>
  <c r="G46" i="29"/>
  <c r="H46" i="29" s="1"/>
  <c r="F47" i="29"/>
  <c r="H47" i="29" s="1"/>
  <c r="G50" i="29"/>
  <c r="H50" i="29" s="1"/>
  <c r="F51" i="29"/>
  <c r="H51" i="29" s="1"/>
  <c r="G54" i="29"/>
  <c r="H54" i="29" s="1"/>
  <c r="F55" i="29"/>
  <c r="H55" i="29" s="1"/>
  <c r="G58" i="29"/>
  <c r="H58" i="29" s="1"/>
  <c r="F59" i="29"/>
  <c r="H59" i="29" s="1"/>
  <c r="G62" i="29"/>
  <c r="H62" i="29" s="1"/>
  <c r="F63" i="29"/>
  <c r="H63" i="29" s="1"/>
  <c r="G66" i="29"/>
  <c r="H66" i="29" s="1"/>
  <c r="F67" i="29"/>
  <c r="H67" i="29" s="1"/>
  <c r="G70" i="29"/>
  <c r="H70" i="29" s="1"/>
  <c r="F71" i="29"/>
  <c r="H71" i="29" s="1"/>
  <c r="G28" i="29"/>
  <c r="H28" i="29" s="1"/>
  <c r="F29" i="29"/>
  <c r="H29" i="29" s="1"/>
  <c r="G32" i="29"/>
  <c r="H32" i="29" s="1"/>
  <c r="F33" i="29"/>
  <c r="H33" i="29" s="1"/>
  <c r="G36" i="29"/>
  <c r="H36" i="29" s="1"/>
  <c r="F37" i="29"/>
  <c r="H37" i="29" s="1"/>
  <c r="G40" i="29"/>
  <c r="H40" i="29" s="1"/>
  <c r="F41" i="29"/>
  <c r="H41" i="29" s="1"/>
  <c r="G48" i="29"/>
  <c r="H48" i="29" s="1"/>
  <c r="F49" i="29"/>
  <c r="H49" i="29" s="1"/>
  <c r="G52" i="29"/>
  <c r="H52" i="29" s="1"/>
  <c r="F53" i="29"/>
  <c r="H53" i="29" s="1"/>
  <c r="G56" i="29"/>
  <c r="H56" i="29" s="1"/>
  <c r="F57" i="29"/>
  <c r="H57" i="29" s="1"/>
  <c r="G60" i="29"/>
  <c r="H60" i="29" s="1"/>
  <c r="F61" i="29"/>
  <c r="H61" i="29" s="1"/>
  <c r="G64" i="29"/>
  <c r="H64" i="29" s="1"/>
  <c r="F65" i="29"/>
  <c r="H65" i="29" s="1"/>
  <c r="G68" i="29"/>
  <c r="H68" i="29" s="1"/>
  <c r="F69" i="29"/>
  <c r="H69" i="29" s="1"/>
  <c r="G72" i="29"/>
  <c r="H72" i="29" s="1"/>
  <c r="F73" i="29"/>
  <c r="H73" i="29" s="1"/>
  <c r="M24" i="29"/>
  <c r="H95" i="29"/>
  <c r="G95" i="29"/>
  <c r="M95" i="29"/>
  <c r="M106" i="29"/>
  <c r="M78" i="29"/>
  <c r="M18" i="29"/>
  <c r="D78" i="29"/>
  <c r="G26" i="29"/>
  <c r="H18" i="29"/>
  <c r="F18" i="29"/>
  <c r="G18" i="29"/>
  <c r="H106" i="29"/>
  <c r="F95" i="29"/>
  <c r="H112" i="29"/>
  <c r="F106" i="29"/>
  <c r="F60" i="27"/>
  <c r="H60" i="27" s="1"/>
  <c r="F14" i="27"/>
  <c r="F10" i="27"/>
  <c r="F76" i="27"/>
  <c r="F74" i="27"/>
  <c r="H74" i="27" s="1"/>
  <c r="G89" i="27"/>
  <c r="D89" i="27"/>
  <c r="M87" i="27"/>
  <c r="F87" i="27"/>
  <c r="H87" i="27" s="1"/>
  <c r="M86" i="27"/>
  <c r="F86" i="27"/>
  <c r="H86" i="27" s="1"/>
  <c r="M85" i="27"/>
  <c r="F85" i="27"/>
  <c r="H85" i="27" s="1"/>
  <c r="M84" i="27"/>
  <c r="H84" i="27"/>
  <c r="M83" i="27"/>
  <c r="F83" i="27"/>
  <c r="H83" i="27" s="1"/>
  <c r="M82" i="27"/>
  <c r="F82" i="27"/>
  <c r="H82" i="27" s="1"/>
  <c r="D80" i="27"/>
  <c r="M79" i="27"/>
  <c r="F79" i="27"/>
  <c r="H79" i="27" s="1"/>
  <c r="M78" i="27"/>
  <c r="F78" i="27"/>
  <c r="H78" i="27" s="1"/>
  <c r="M77" i="27"/>
  <c r="H77" i="27"/>
  <c r="M76" i="27"/>
  <c r="M75" i="27"/>
  <c r="H75" i="27"/>
  <c r="M74" i="27"/>
  <c r="L72" i="27"/>
  <c r="K72" i="27"/>
  <c r="J72" i="27"/>
  <c r="I72" i="27"/>
  <c r="G72" i="27"/>
  <c r="D72" i="27"/>
  <c r="M71" i="27"/>
  <c r="H71" i="27"/>
  <c r="F71" i="27"/>
  <c r="M70" i="27"/>
  <c r="F70" i="27"/>
  <c r="H70" i="27" s="1"/>
  <c r="M69" i="27"/>
  <c r="F69" i="27"/>
  <c r="H69" i="27" s="1"/>
  <c r="M68" i="27"/>
  <c r="F68" i="27"/>
  <c r="H68" i="27" s="1"/>
  <c r="M67" i="27"/>
  <c r="F67" i="27"/>
  <c r="H67" i="27" s="1"/>
  <c r="M66" i="27"/>
  <c r="F66" i="27"/>
  <c r="H66" i="27" s="1"/>
  <c r="M65" i="27"/>
  <c r="H65" i="27"/>
  <c r="M64" i="27"/>
  <c r="F64" i="27"/>
  <c r="H64" i="27" s="1"/>
  <c r="M63" i="27"/>
  <c r="F63" i="27"/>
  <c r="K61" i="27"/>
  <c r="J61" i="27"/>
  <c r="I61" i="27"/>
  <c r="G61" i="27"/>
  <c r="D61" i="27"/>
  <c r="M60" i="27"/>
  <c r="M59" i="27"/>
  <c r="F59" i="27"/>
  <c r="H59" i="27" s="1"/>
  <c r="M58" i="27"/>
  <c r="H58" i="27"/>
  <c r="M57" i="27"/>
  <c r="F57" i="27"/>
  <c r="H57" i="27" s="1"/>
  <c r="M56" i="27"/>
  <c r="F56" i="27"/>
  <c r="H56" i="27" s="1"/>
  <c r="M55" i="27"/>
  <c r="H55" i="27"/>
  <c r="F55" i="27"/>
  <c r="M54" i="27"/>
  <c r="F54" i="27"/>
  <c r="L52" i="27"/>
  <c r="K52" i="27"/>
  <c r="J52" i="27"/>
  <c r="I52" i="27"/>
  <c r="F52" i="27"/>
  <c r="M51" i="27"/>
  <c r="G51" i="27"/>
  <c r="H51" i="27" s="1"/>
  <c r="M50" i="27"/>
  <c r="G50" i="27"/>
  <c r="H50" i="27" s="1"/>
  <c r="M49" i="27"/>
  <c r="D49" i="27"/>
  <c r="G49" i="27" s="1"/>
  <c r="H49" i="27" s="1"/>
  <c r="M48" i="27"/>
  <c r="D48" i="27"/>
  <c r="G48" i="27" s="1"/>
  <c r="H48" i="27" s="1"/>
  <c r="M47" i="27"/>
  <c r="D47" i="27"/>
  <c r="G47" i="27" s="1"/>
  <c r="H47" i="27" s="1"/>
  <c r="M46" i="27"/>
  <c r="D46" i="27"/>
  <c r="G46" i="27" s="1"/>
  <c r="H46" i="27" s="1"/>
  <c r="M45" i="27"/>
  <c r="D45" i="27"/>
  <c r="G45" i="27" s="1"/>
  <c r="H45" i="27" s="1"/>
  <c r="M44" i="27"/>
  <c r="D44" i="27"/>
  <c r="G44" i="27" s="1"/>
  <c r="H44" i="27" s="1"/>
  <c r="M43" i="27"/>
  <c r="D43" i="27"/>
  <c r="G43" i="27" s="1"/>
  <c r="H43" i="27" s="1"/>
  <c r="M42" i="27"/>
  <c r="D42" i="27"/>
  <c r="G42" i="27" s="1"/>
  <c r="H42" i="27" s="1"/>
  <c r="M41" i="27"/>
  <c r="D41" i="27"/>
  <c r="G41" i="27" s="1"/>
  <c r="H41" i="27" s="1"/>
  <c r="M40" i="27"/>
  <c r="D40" i="27"/>
  <c r="G40" i="27" s="1"/>
  <c r="H40" i="27" s="1"/>
  <c r="M39" i="27"/>
  <c r="D39" i="27"/>
  <c r="G39" i="27" s="1"/>
  <c r="H39" i="27" s="1"/>
  <c r="M38" i="27"/>
  <c r="D38" i="27"/>
  <c r="G38" i="27" s="1"/>
  <c r="H38" i="27" s="1"/>
  <c r="M37" i="27"/>
  <c r="D37" i="27"/>
  <c r="G37" i="27" s="1"/>
  <c r="H37" i="27" s="1"/>
  <c r="M36" i="27"/>
  <c r="D36" i="27"/>
  <c r="G36" i="27" s="1"/>
  <c r="H36" i="27" s="1"/>
  <c r="M35" i="27"/>
  <c r="D35" i="27"/>
  <c r="G35" i="27" s="1"/>
  <c r="H35" i="27" s="1"/>
  <c r="M34" i="27"/>
  <c r="D34" i="27"/>
  <c r="G34" i="27" s="1"/>
  <c r="H34" i="27" s="1"/>
  <c r="M33" i="27"/>
  <c r="D33" i="27"/>
  <c r="G33" i="27" s="1"/>
  <c r="H33" i="27" s="1"/>
  <c r="M32" i="27"/>
  <c r="D32" i="27"/>
  <c r="G32" i="27" s="1"/>
  <c r="H32" i="27" s="1"/>
  <c r="M31" i="27"/>
  <c r="D31" i="27"/>
  <c r="G31" i="27" s="1"/>
  <c r="H31" i="27" s="1"/>
  <c r="M30" i="27"/>
  <c r="D30" i="27"/>
  <c r="G30" i="27" s="1"/>
  <c r="H30" i="27" s="1"/>
  <c r="M29" i="27"/>
  <c r="D29" i="27"/>
  <c r="G29" i="27" s="1"/>
  <c r="H29" i="27" s="1"/>
  <c r="M28" i="27"/>
  <c r="D28" i="27"/>
  <c r="G28" i="27" s="1"/>
  <c r="H28" i="27" s="1"/>
  <c r="M27" i="27"/>
  <c r="D27" i="27"/>
  <c r="G27" i="27" s="1"/>
  <c r="H27" i="27" s="1"/>
  <c r="M26" i="27"/>
  <c r="D26" i="27"/>
  <c r="D52" i="27" s="1"/>
  <c r="K24" i="27"/>
  <c r="J24" i="27"/>
  <c r="I24" i="27"/>
  <c r="F24" i="27"/>
  <c r="D24" i="27"/>
  <c r="M22" i="27"/>
  <c r="H22" i="27"/>
  <c r="M20" i="27"/>
  <c r="M24" i="27" s="1"/>
  <c r="G20" i="27"/>
  <c r="K18" i="27"/>
  <c r="J18" i="27"/>
  <c r="I18" i="27"/>
  <c r="D18" i="27"/>
  <c r="M17" i="27"/>
  <c r="H17" i="27"/>
  <c r="M16" i="27"/>
  <c r="H16" i="27"/>
  <c r="M15" i="27"/>
  <c r="H15" i="27"/>
  <c r="M14" i="27"/>
  <c r="G14" i="27"/>
  <c r="H14" i="27" s="1"/>
  <c r="M13" i="27"/>
  <c r="G13" i="27"/>
  <c r="H13" i="27" s="1"/>
  <c r="M12" i="27"/>
  <c r="G12" i="27"/>
  <c r="H12" i="27" s="1"/>
  <c r="M11" i="27"/>
  <c r="G11" i="27"/>
  <c r="H11" i="27" s="1"/>
  <c r="M10" i="27"/>
  <c r="G10" i="27"/>
  <c r="G20" i="26"/>
  <c r="F79" i="26"/>
  <c r="H79" i="26" s="1"/>
  <c r="F78" i="26"/>
  <c r="F76" i="26"/>
  <c r="H76" i="26" s="1"/>
  <c r="F74" i="26"/>
  <c r="G89" i="26"/>
  <c r="D89" i="26"/>
  <c r="M87" i="26"/>
  <c r="F87" i="26"/>
  <c r="H87" i="26" s="1"/>
  <c r="M86" i="26"/>
  <c r="F86" i="26"/>
  <c r="H86" i="26" s="1"/>
  <c r="M85" i="26"/>
  <c r="F85" i="26"/>
  <c r="H85" i="26" s="1"/>
  <c r="M84" i="26"/>
  <c r="H84" i="26"/>
  <c r="M83" i="26"/>
  <c r="F83" i="26"/>
  <c r="H83" i="26" s="1"/>
  <c r="M82" i="26"/>
  <c r="F82" i="26"/>
  <c r="H82" i="26" s="1"/>
  <c r="D80" i="26"/>
  <c r="M79" i="26"/>
  <c r="M78" i="26"/>
  <c r="M77" i="26"/>
  <c r="H77" i="26"/>
  <c r="M76" i="26"/>
  <c r="M75" i="26"/>
  <c r="H75" i="26"/>
  <c r="M74" i="26"/>
  <c r="H74" i="26"/>
  <c r="K72" i="26"/>
  <c r="J72" i="26"/>
  <c r="I72" i="26"/>
  <c r="G72" i="26"/>
  <c r="D72" i="26"/>
  <c r="M71" i="26"/>
  <c r="F71" i="26"/>
  <c r="H71" i="26" s="1"/>
  <c r="M70" i="26"/>
  <c r="F70" i="26"/>
  <c r="H70" i="26" s="1"/>
  <c r="M69" i="26"/>
  <c r="F69" i="26"/>
  <c r="H69" i="26" s="1"/>
  <c r="M68" i="26"/>
  <c r="F68" i="26"/>
  <c r="H68" i="26" s="1"/>
  <c r="M67" i="26"/>
  <c r="F67" i="26"/>
  <c r="H67" i="26" s="1"/>
  <c r="M66" i="26"/>
  <c r="F66" i="26"/>
  <c r="H66" i="26" s="1"/>
  <c r="M65" i="26"/>
  <c r="H65" i="26"/>
  <c r="M64" i="26"/>
  <c r="F64" i="26"/>
  <c r="H64" i="26" s="1"/>
  <c r="M63" i="26"/>
  <c r="F63" i="26"/>
  <c r="H63" i="26" s="1"/>
  <c r="K61" i="26"/>
  <c r="J61" i="26"/>
  <c r="I61" i="26"/>
  <c r="G61" i="26"/>
  <c r="D61" i="26"/>
  <c r="M60" i="26"/>
  <c r="F60" i="26"/>
  <c r="H60" i="26" s="1"/>
  <c r="M59" i="26"/>
  <c r="F59" i="26"/>
  <c r="H59" i="26" s="1"/>
  <c r="M58" i="26"/>
  <c r="H58" i="26"/>
  <c r="M57" i="26"/>
  <c r="F57" i="26"/>
  <c r="M56" i="26"/>
  <c r="F56" i="26"/>
  <c r="H56" i="26" s="1"/>
  <c r="M55" i="26"/>
  <c r="F55" i="26"/>
  <c r="H55" i="26" s="1"/>
  <c r="M54" i="26"/>
  <c r="F54" i="26"/>
  <c r="H54" i="26" s="1"/>
  <c r="L52" i="26"/>
  <c r="L72" i="26" s="1"/>
  <c r="K52" i="26"/>
  <c r="J52" i="26"/>
  <c r="I52" i="26"/>
  <c r="F52" i="26"/>
  <c r="M51" i="26"/>
  <c r="G51" i="26"/>
  <c r="H51" i="26" s="1"/>
  <c r="M50" i="26"/>
  <c r="G50" i="26"/>
  <c r="H50" i="26" s="1"/>
  <c r="M49" i="26"/>
  <c r="D49" i="26"/>
  <c r="G49" i="26" s="1"/>
  <c r="H49" i="26" s="1"/>
  <c r="M48" i="26"/>
  <c r="D48" i="26"/>
  <c r="G48" i="26" s="1"/>
  <c r="H48" i="26" s="1"/>
  <c r="M47" i="26"/>
  <c r="D47" i="26"/>
  <c r="G47" i="26" s="1"/>
  <c r="H47" i="26" s="1"/>
  <c r="M46" i="26"/>
  <c r="D46" i="26"/>
  <c r="G46" i="26" s="1"/>
  <c r="H46" i="26" s="1"/>
  <c r="M45" i="26"/>
  <c r="D45" i="26"/>
  <c r="G45" i="26" s="1"/>
  <c r="H45" i="26" s="1"/>
  <c r="M44" i="26"/>
  <c r="D44" i="26"/>
  <c r="G44" i="26" s="1"/>
  <c r="H44" i="26" s="1"/>
  <c r="M43" i="26"/>
  <c r="D43" i="26"/>
  <c r="G43" i="26" s="1"/>
  <c r="H43" i="26" s="1"/>
  <c r="M42" i="26"/>
  <c r="D42" i="26"/>
  <c r="G42" i="26" s="1"/>
  <c r="H42" i="26" s="1"/>
  <c r="M41" i="26"/>
  <c r="D41" i="26"/>
  <c r="G41" i="26" s="1"/>
  <c r="H41" i="26" s="1"/>
  <c r="M40" i="26"/>
  <c r="D40" i="26"/>
  <c r="G40" i="26" s="1"/>
  <c r="H40" i="26" s="1"/>
  <c r="M39" i="26"/>
  <c r="D39" i="26"/>
  <c r="G39" i="26" s="1"/>
  <c r="H39" i="26" s="1"/>
  <c r="M38" i="26"/>
  <c r="D38" i="26"/>
  <c r="G38" i="26" s="1"/>
  <c r="H38" i="26" s="1"/>
  <c r="M37" i="26"/>
  <c r="D37" i="26"/>
  <c r="G37" i="26" s="1"/>
  <c r="H37" i="26" s="1"/>
  <c r="M36" i="26"/>
  <c r="D36" i="26"/>
  <c r="G36" i="26" s="1"/>
  <c r="H36" i="26" s="1"/>
  <c r="M35" i="26"/>
  <c r="D35" i="26"/>
  <c r="G35" i="26" s="1"/>
  <c r="H35" i="26" s="1"/>
  <c r="M34" i="26"/>
  <c r="D34" i="26"/>
  <c r="G34" i="26" s="1"/>
  <c r="H34" i="26" s="1"/>
  <c r="M33" i="26"/>
  <c r="D33" i="26"/>
  <c r="G33" i="26" s="1"/>
  <c r="H33" i="26" s="1"/>
  <c r="M32" i="26"/>
  <c r="D32" i="26"/>
  <c r="G32" i="26" s="1"/>
  <c r="H32" i="26" s="1"/>
  <c r="M31" i="26"/>
  <c r="D31" i="26"/>
  <c r="G31" i="26" s="1"/>
  <c r="H31" i="26" s="1"/>
  <c r="M30" i="26"/>
  <c r="D30" i="26"/>
  <c r="G30" i="26" s="1"/>
  <c r="H30" i="26" s="1"/>
  <c r="M29" i="26"/>
  <c r="D29" i="26"/>
  <c r="G29" i="26" s="1"/>
  <c r="H29" i="26" s="1"/>
  <c r="M28" i="26"/>
  <c r="D28" i="26"/>
  <c r="G28" i="26" s="1"/>
  <c r="H28" i="26" s="1"/>
  <c r="M27" i="26"/>
  <c r="D27" i="26"/>
  <c r="G27" i="26" s="1"/>
  <c r="H27" i="26" s="1"/>
  <c r="M26" i="26"/>
  <c r="D26" i="26"/>
  <c r="K24" i="26"/>
  <c r="J24" i="26"/>
  <c r="I24" i="26"/>
  <c r="F24" i="26"/>
  <c r="D24" i="26"/>
  <c r="M22" i="26"/>
  <c r="H22" i="26"/>
  <c r="M20" i="26"/>
  <c r="M24" i="26" s="1"/>
  <c r="K18" i="26"/>
  <c r="J18" i="26"/>
  <c r="I18" i="26"/>
  <c r="D18" i="26"/>
  <c r="M17" i="26"/>
  <c r="H17" i="26"/>
  <c r="M16" i="26"/>
  <c r="H16" i="26"/>
  <c r="M15" i="26"/>
  <c r="H15" i="26"/>
  <c r="M14" i="26"/>
  <c r="G14" i="26"/>
  <c r="F14" i="26"/>
  <c r="M13" i="26"/>
  <c r="G13" i="26"/>
  <c r="H13" i="26" s="1"/>
  <c r="M12" i="26"/>
  <c r="G12" i="26"/>
  <c r="H12" i="26" s="1"/>
  <c r="M11" i="26"/>
  <c r="G11" i="26"/>
  <c r="H11" i="26" s="1"/>
  <c r="M10" i="26"/>
  <c r="G10" i="26"/>
  <c r="F10" i="26"/>
  <c r="G10" i="25"/>
  <c r="G90" i="25"/>
  <c r="D90" i="25"/>
  <c r="M88" i="25"/>
  <c r="F88" i="25"/>
  <c r="H88" i="25" s="1"/>
  <c r="M87" i="25"/>
  <c r="F87" i="25"/>
  <c r="H87" i="25" s="1"/>
  <c r="M86" i="25"/>
  <c r="F86" i="25"/>
  <c r="H86" i="25" s="1"/>
  <c r="M85" i="25"/>
  <c r="H85" i="25"/>
  <c r="M84" i="25"/>
  <c r="F84" i="25"/>
  <c r="H84" i="25" s="1"/>
  <c r="M83" i="25"/>
  <c r="F83" i="25"/>
  <c r="H83" i="25" s="1"/>
  <c r="D81" i="25"/>
  <c r="M80" i="25"/>
  <c r="F80" i="25"/>
  <c r="H80" i="25" s="1"/>
  <c r="M79" i="25"/>
  <c r="F79" i="25"/>
  <c r="H79" i="25" s="1"/>
  <c r="M78" i="25"/>
  <c r="H78" i="25"/>
  <c r="M77" i="25"/>
  <c r="F77" i="25"/>
  <c r="M76" i="25"/>
  <c r="H76" i="25"/>
  <c r="M75" i="25"/>
  <c r="F75" i="25"/>
  <c r="H75" i="25" s="1"/>
  <c r="L73" i="25"/>
  <c r="K73" i="25"/>
  <c r="J73" i="25"/>
  <c r="I73" i="25"/>
  <c r="G73" i="25"/>
  <c r="D73" i="25"/>
  <c r="M72" i="25"/>
  <c r="F72" i="25"/>
  <c r="H72" i="25" s="1"/>
  <c r="M71" i="25"/>
  <c r="F71" i="25"/>
  <c r="H71" i="25" s="1"/>
  <c r="M70" i="25"/>
  <c r="F70" i="25"/>
  <c r="H70" i="25" s="1"/>
  <c r="M69" i="25"/>
  <c r="F69" i="25"/>
  <c r="H69" i="25" s="1"/>
  <c r="M68" i="25"/>
  <c r="F68" i="25"/>
  <c r="H68" i="25" s="1"/>
  <c r="M67" i="25"/>
  <c r="F67" i="25"/>
  <c r="H67" i="25" s="1"/>
  <c r="M66" i="25"/>
  <c r="H66" i="25"/>
  <c r="M65" i="25"/>
  <c r="F65" i="25"/>
  <c r="H65" i="25" s="1"/>
  <c r="M64" i="25"/>
  <c r="F64" i="25"/>
  <c r="F73" i="25" s="1"/>
  <c r="K62" i="25"/>
  <c r="J62" i="25"/>
  <c r="I62" i="25"/>
  <c r="G62" i="25"/>
  <c r="D62" i="25"/>
  <c r="M61" i="25"/>
  <c r="F61" i="25"/>
  <c r="H61" i="25" s="1"/>
  <c r="M60" i="25"/>
  <c r="F60" i="25"/>
  <c r="H60" i="25" s="1"/>
  <c r="M59" i="25"/>
  <c r="H59" i="25"/>
  <c r="M58" i="25"/>
  <c r="F58" i="25"/>
  <c r="H58" i="25" s="1"/>
  <c r="M57" i="25"/>
  <c r="F57" i="25"/>
  <c r="H57" i="25" s="1"/>
  <c r="M56" i="25"/>
  <c r="F56" i="25"/>
  <c r="H56" i="25" s="1"/>
  <c r="M55" i="25"/>
  <c r="F55" i="25"/>
  <c r="L53" i="25"/>
  <c r="K53" i="25"/>
  <c r="J53" i="25"/>
  <c r="I53" i="25"/>
  <c r="F53" i="25"/>
  <c r="M52" i="25"/>
  <c r="G52" i="25"/>
  <c r="H52" i="25" s="1"/>
  <c r="M51" i="25"/>
  <c r="G51" i="25"/>
  <c r="H51" i="25" s="1"/>
  <c r="M50" i="25"/>
  <c r="G50" i="25"/>
  <c r="H50" i="25" s="1"/>
  <c r="M49" i="25"/>
  <c r="D49" i="25"/>
  <c r="G49" i="25" s="1"/>
  <c r="H49" i="25" s="1"/>
  <c r="M48" i="25"/>
  <c r="D48" i="25"/>
  <c r="G48" i="25" s="1"/>
  <c r="H48" i="25" s="1"/>
  <c r="M47" i="25"/>
  <c r="D47" i="25"/>
  <c r="G47" i="25" s="1"/>
  <c r="H47" i="25" s="1"/>
  <c r="M46" i="25"/>
  <c r="D46" i="25"/>
  <c r="G46" i="25" s="1"/>
  <c r="H46" i="25" s="1"/>
  <c r="M45" i="25"/>
  <c r="D45" i="25"/>
  <c r="G45" i="25" s="1"/>
  <c r="H45" i="25" s="1"/>
  <c r="M44" i="25"/>
  <c r="D44" i="25"/>
  <c r="G44" i="25" s="1"/>
  <c r="H44" i="25" s="1"/>
  <c r="M43" i="25"/>
  <c r="D43" i="25"/>
  <c r="G43" i="25" s="1"/>
  <c r="H43" i="25" s="1"/>
  <c r="M42" i="25"/>
  <c r="D42" i="25"/>
  <c r="G42" i="25" s="1"/>
  <c r="H42" i="25" s="1"/>
  <c r="M41" i="25"/>
  <c r="D41" i="25"/>
  <c r="G41" i="25" s="1"/>
  <c r="H41" i="25" s="1"/>
  <c r="M40" i="25"/>
  <c r="D40" i="25"/>
  <c r="G40" i="25" s="1"/>
  <c r="H40" i="25" s="1"/>
  <c r="M39" i="25"/>
  <c r="D39" i="25"/>
  <c r="G39" i="25" s="1"/>
  <c r="H39" i="25" s="1"/>
  <c r="M38" i="25"/>
  <c r="D38" i="25"/>
  <c r="G38" i="25" s="1"/>
  <c r="H38" i="25" s="1"/>
  <c r="M37" i="25"/>
  <c r="D37" i="25"/>
  <c r="G37" i="25" s="1"/>
  <c r="H37" i="25" s="1"/>
  <c r="M36" i="25"/>
  <c r="D36" i="25"/>
  <c r="G36" i="25" s="1"/>
  <c r="H36" i="25" s="1"/>
  <c r="M35" i="25"/>
  <c r="D35" i="25"/>
  <c r="G35" i="25" s="1"/>
  <c r="H35" i="25" s="1"/>
  <c r="M34" i="25"/>
  <c r="D34" i="25"/>
  <c r="G34" i="25" s="1"/>
  <c r="H34" i="25" s="1"/>
  <c r="M33" i="25"/>
  <c r="D33" i="25"/>
  <c r="G33" i="25" s="1"/>
  <c r="H33" i="25" s="1"/>
  <c r="M32" i="25"/>
  <c r="D32" i="25"/>
  <c r="G32" i="25" s="1"/>
  <c r="H32" i="25" s="1"/>
  <c r="M31" i="25"/>
  <c r="D31" i="25"/>
  <c r="G31" i="25" s="1"/>
  <c r="H31" i="25" s="1"/>
  <c r="M30" i="25"/>
  <c r="D30" i="25"/>
  <c r="G30" i="25" s="1"/>
  <c r="H30" i="25" s="1"/>
  <c r="M29" i="25"/>
  <c r="D29" i="25"/>
  <c r="G29" i="25" s="1"/>
  <c r="H29" i="25" s="1"/>
  <c r="M28" i="25"/>
  <c r="D28" i="25"/>
  <c r="G28" i="25" s="1"/>
  <c r="H28" i="25" s="1"/>
  <c r="M27" i="25"/>
  <c r="D27" i="25"/>
  <c r="G27" i="25" s="1"/>
  <c r="H27" i="25" s="1"/>
  <c r="M26" i="25"/>
  <c r="D26" i="25"/>
  <c r="K24" i="25"/>
  <c r="J24" i="25"/>
  <c r="I24" i="25"/>
  <c r="G24" i="25"/>
  <c r="F24" i="25"/>
  <c r="D24" i="25"/>
  <c r="M22" i="25"/>
  <c r="M24" i="25" s="1"/>
  <c r="H22" i="25"/>
  <c r="M20" i="25"/>
  <c r="G20" i="25"/>
  <c r="H20" i="25" s="1"/>
  <c r="H24" i="25" s="1"/>
  <c r="K18" i="25"/>
  <c r="J18" i="25"/>
  <c r="I18" i="25"/>
  <c r="D18" i="25"/>
  <c r="M17" i="25"/>
  <c r="H17" i="25"/>
  <c r="M16" i="25"/>
  <c r="H16" i="25"/>
  <c r="M15" i="25"/>
  <c r="H15" i="25"/>
  <c r="M14" i="25"/>
  <c r="G14" i="25"/>
  <c r="F14" i="25"/>
  <c r="M13" i="25"/>
  <c r="G13" i="25"/>
  <c r="H13" i="25" s="1"/>
  <c r="M12" i="25"/>
  <c r="G12" i="25"/>
  <c r="H12" i="25" s="1"/>
  <c r="M11" i="25"/>
  <c r="G11" i="25"/>
  <c r="H11" i="25" s="1"/>
  <c r="M10" i="25"/>
  <c r="F10" i="25"/>
  <c r="F90" i="25" l="1"/>
  <c r="H14" i="26"/>
  <c r="D53" i="25"/>
  <c r="M53" i="25"/>
  <c r="H10" i="25"/>
  <c r="M73" i="25"/>
  <c r="M18" i="27"/>
  <c r="F62" i="25"/>
  <c r="M62" i="25"/>
  <c r="H14" i="25"/>
  <c r="F18" i="25"/>
  <c r="G18" i="25"/>
  <c r="H10" i="26"/>
  <c r="H114" i="29"/>
  <c r="H128" i="29" s="1"/>
  <c r="F78" i="29"/>
  <c r="H26" i="29"/>
  <c r="H78" i="29" s="1"/>
  <c r="G78" i="29"/>
  <c r="M72" i="27"/>
  <c r="M61" i="27"/>
  <c r="H10" i="27"/>
  <c r="H18" i="27" s="1"/>
  <c r="F18" i="27"/>
  <c r="G18" i="27"/>
  <c r="G24" i="27"/>
  <c r="H20" i="27"/>
  <c r="H24" i="27" s="1"/>
  <c r="M52" i="27"/>
  <c r="F61" i="27"/>
  <c r="H54" i="27"/>
  <c r="H61" i="27" s="1"/>
  <c r="F72" i="27"/>
  <c r="H63" i="27"/>
  <c r="H72" i="27" s="1"/>
  <c r="F89" i="27"/>
  <c r="H76" i="27"/>
  <c r="H89" i="27" s="1"/>
  <c r="G26" i="27"/>
  <c r="F89" i="26"/>
  <c r="G18" i="26"/>
  <c r="M18" i="26"/>
  <c r="D52" i="26"/>
  <c r="M61" i="26"/>
  <c r="M72" i="26"/>
  <c r="G26" i="26"/>
  <c r="H57" i="26"/>
  <c r="H61" i="26" s="1"/>
  <c r="F61" i="26"/>
  <c r="H18" i="26"/>
  <c r="G24" i="26"/>
  <c r="H20" i="26"/>
  <c r="H24" i="26" s="1"/>
  <c r="M52" i="26"/>
  <c r="H72" i="26"/>
  <c r="F18" i="26"/>
  <c r="H78" i="26"/>
  <c r="H89" i="26" s="1"/>
  <c r="F72" i="26"/>
  <c r="M18" i="25"/>
  <c r="H55" i="25"/>
  <c r="H62" i="25" s="1"/>
  <c r="H64" i="25"/>
  <c r="H73" i="25" s="1"/>
  <c r="H77" i="25"/>
  <c r="H90" i="25" s="1"/>
  <c r="G26" i="25"/>
  <c r="F86" i="17"/>
  <c r="H86" i="17" s="1"/>
  <c r="F84" i="17"/>
  <c r="D90" i="17"/>
  <c r="D81" i="17"/>
  <c r="M85" i="17"/>
  <c r="H85" i="17"/>
  <c r="M88" i="17"/>
  <c r="F88" i="17"/>
  <c r="H88" i="17" s="1"/>
  <c r="M87" i="17"/>
  <c r="F87" i="17"/>
  <c r="H87" i="17" s="1"/>
  <c r="M86" i="17"/>
  <c r="M84" i="17"/>
  <c r="H84" i="17"/>
  <c r="M83" i="17"/>
  <c r="F83" i="17"/>
  <c r="H83" i="17" s="1"/>
  <c r="H18" i="25" l="1"/>
  <c r="H26" i="27"/>
  <c r="H52" i="27" s="1"/>
  <c r="G52" i="27"/>
  <c r="H26" i="26"/>
  <c r="H52" i="26" s="1"/>
  <c r="G52" i="26"/>
  <c r="G53" i="25"/>
  <c r="H26" i="25"/>
  <c r="H53" i="25" s="1"/>
  <c r="F51" i="21"/>
  <c r="H51" i="21" s="1"/>
  <c r="F50" i="21"/>
  <c r="H50" i="21" s="1"/>
  <c r="F49" i="21"/>
  <c r="H49" i="21" s="1"/>
  <c r="F48" i="21"/>
  <c r="H48" i="21" s="1"/>
  <c r="F47" i="21"/>
  <c r="H47" i="21" s="1"/>
  <c r="F46" i="21"/>
  <c r="G43" i="21"/>
  <c r="G42" i="21"/>
  <c r="H42" i="21" s="1"/>
  <c r="G41" i="21"/>
  <c r="H41" i="21" s="1"/>
  <c r="G40" i="21"/>
  <c r="H40" i="21" s="1"/>
  <c r="G39" i="21"/>
  <c r="H39" i="21" s="1"/>
  <c r="G38" i="21"/>
  <c r="H38" i="21" s="1"/>
  <c r="G37" i="21"/>
  <c r="H37" i="21" s="1"/>
  <c r="G36" i="21"/>
  <c r="H36" i="21" s="1"/>
  <c r="G35" i="21"/>
  <c r="H35" i="21" s="1"/>
  <c r="G34" i="21"/>
  <c r="H34" i="21" s="1"/>
  <c r="G33" i="21"/>
  <c r="H33" i="21" s="1"/>
  <c r="G32" i="21"/>
  <c r="H32" i="21" s="1"/>
  <c r="G31" i="21"/>
  <c r="H31" i="21" s="1"/>
  <c r="G30" i="21"/>
  <c r="H30" i="21" s="1"/>
  <c r="G29" i="21"/>
  <c r="H29" i="21" s="1"/>
  <c r="G28" i="21"/>
  <c r="H28" i="21" s="1"/>
  <c r="G27" i="21"/>
  <c r="H27" i="21" s="1"/>
  <c r="G26" i="21"/>
  <c r="H26" i="21" s="1"/>
  <c r="G25" i="21"/>
  <c r="H25" i="21" s="1"/>
  <c r="G24" i="21"/>
  <c r="H24" i="21" s="1"/>
  <c r="G23" i="21"/>
  <c r="H23" i="21" s="1"/>
  <c r="F13" i="21"/>
  <c r="G12" i="21"/>
  <c r="H12" i="21" s="1"/>
  <c r="G11" i="21"/>
  <c r="H11" i="21" s="1"/>
  <c r="G13" i="21"/>
  <c r="G10" i="21"/>
  <c r="H10" i="21" s="1"/>
  <c r="H21" i="21"/>
  <c r="F52" i="22"/>
  <c r="H52" i="22" s="1"/>
  <c r="F51" i="22"/>
  <c r="H51" i="22" s="1"/>
  <c r="F50" i="22"/>
  <c r="H50" i="22" s="1"/>
  <c r="F49" i="22"/>
  <c r="H49" i="22" s="1"/>
  <c r="F48" i="22"/>
  <c r="H48" i="22" s="1"/>
  <c r="F47" i="22"/>
  <c r="H47" i="22" s="1"/>
  <c r="G40" i="22"/>
  <c r="G42" i="22"/>
  <c r="G44" i="22"/>
  <c r="H44" i="22" s="1"/>
  <c r="G43" i="22"/>
  <c r="H43" i="22" s="1"/>
  <c r="H42" i="22"/>
  <c r="G41" i="22"/>
  <c r="H41" i="22" s="1"/>
  <c r="H40" i="22"/>
  <c r="G39" i="22"/>
  <c r="H39" i="22" s="1"/>
  <c r="G38" i="22"/>
  <c r="H38" i="22" s="1"/>
  <c r="G37" i="22"/>
  <c r="H37" i="22" s="1"/>
  <c r="G36" i="22"/>
  <c r="H36" i="22" s="1"/>
  <c r="G35" i="22"/>
  <c r="H35" i="22" s="1"/>
  <c r="G34" i="22"/>
  <c r="H34" i="22" s="1"/>
  <c r="G33" i="22"/>
  <c r="H33" i="22" s="1"/>
  <c r="G32" i="22"/>
  <c r="H32" i="22" s="1"/>
  <c r="G31" i="22"/>
  <c r="H31" i="22" s="1"/>
  <c r="G30" i="22"/>
  <c r="H30" i="22" s="1"/>
  <c r="G29" i="22"/>
  <c r="H29" i="22" s="1"/>
  <c r="G28" i="22"/>
  <c r="H28" i="22" s="1"/>
  <c r="G27" i="22"/>
  <c r="H27" i="22" s="1"/>
  <c r="G25" i="22"/>
  <c r="H25" i="22" s="1"/>
  <c r="G24" i="22"/>
  <c r="G26" i="22"/>
  <c r="H26" i="22" s="1"/>
  <c r="H24" i="22"/>
  <c r="F52" i="23"/>
  <c r="H52" i="23" s="1"/>
  <c r="F51" i="23"/>
  <c r="F50" i="23"/>
  <c r="H50" i="23" s="1"/>
  <c r="F49" i="23"/>
  <c r="H49" i="23" s="1"/>
  <c r="F48" i="23"/>
  <c r="H48" i="23" s="1"/>
  <c r="H51" i="23"/>
  <c r="F47" i="23"/>
  <c r="H47" i="23" s="1"/>
  <c r="G44" i="23"/>
  <c r="H44" i="23" s="1"/>
  <c r="G43" i="23"/>
  <c r="H43" i="23" s="1"/>
  <c r="G41" i="23"/>
  <c r="H41" i="23" s="1"/>
  <c r="G39" i="23"/>
  <c r="H39" i="23" s="1"/>
  <c r="G38" i="23"/>
  <c r="H38" i="23" s="1"/>
  <c r="G37" i="23"/>
  <c r="H37" i="23" s="1"/>
  <c r="G36" i="23"/>
  <c r="H36" i="23" s="1"/>
  <c r="G35" i="23"/>
  <c r="H35" i="23" s="1"/>
  <c r="H34" i="23"/>
  <c r="G34" i="23"/>
  <c r="G33" i="23"/>
  <c r="H33" i="23" s="1"/>
  <c r="G32" i="23"/>
  <c r="H32" i="23" s="1"/>
  <c r="G31" i="23"/>
  <c r="H31" i="23" s="1"/>
  <c r="G30" i="23"/>
  <c r="H30" i="23" s="1"/>
  <c r="G29" i="23"/>
  <c r="H29" i="23" s="1"/>
  <c r="G28" i="23"/>
  <c r="H28" i="23" s="1"/>
  <c r="G27" i="23"/>
  <c r="H27" i="23" s="1"/>
  <c r="G26" i="23"/>
  <c r="H26" i="23" s="1"/>
  <c r="G25" i="23"/>
  <c r="H25" i="23" s="1"/>
  <c r="G24" i="23"/>
  <c r="G20" i="23"/>
  <c r="F17" i="23"/>
  <c r="G16" i="23"/>
  <c r="H16" i="23" s="1"/>
  <c r="G15" i="23"/>
  <c r="H15" i="23" s="1"/>
  <c r="G14" i="23"/>
  <c r="H14" i="23" s="1"/>
  <c r="F13" i="23"/>
  <c r="H13" i="23" s="1"/>
  <c r="G12" i="23"/>
  <c r="H12" i="23" s="1"/>
  <c r="G11" i="23"/>
  <c r="H11" i="23" s="1"/>
  <c r="G10" i="23"/>
  <c r="H10" i="23" s="1"/>
  <c r="F50" i="24"/>
  <c r="H50" i="24" s="1"/>
  <c r="F49" i="24"/>
  <c r="H49" i="24" s="1"/>
  <c r="F48" i="24"/>
  <c r="H48" i="24" s="1"/>
  <c r="F47" i="24"/>
  <c r="H47" i="24" s="1"/>
  <c r="F46" i="24"/>
  <c r="H46" i="24" s="1"/>
  <c r="F45" i="24"/>
  <c r="G42" i="24"/>
  <c r="H42" i="24" s="1"/>
  <c r="G41" i="24"/>
  <c r="H41" i="24" s="1"/>
  <c r="G40" i="24"/>
  <c r="H40" i="24" s="1"/>
  <c r="M40" i="24"/>
  <c r="G39" i="24"/>
  <c r="H39" i="24" s="1"/>
  <c r="G38" i="24"/>
  <c r="H38" i="24" s="1"/>
  <c r="G37" i="24"/>
  <c r="H37" i="24" s="1"/>
  <c r="G36" i="24"/>
  <c r="H36" i="24" s="1"/>
  <c r="G35" i="24"/>
  <c r="H35" i="24" s="1"/>
  <c r="G34" i="24"/>
  <c r="H34" i="24" s="1"/>
  <c r="G33" i="24"/>
  <c r="H33" i="24" s="1"/>
  <c r="G32" i="24"/>
  <c r="H32" i="24" s="1"/>
  <c r="G31" i="24"/>
  <c r="H31" i="24" s="1"/>
  <c r="G30" i="24"/>
  <c r="H30" i="24" s="1"/>
  <c r="G29" i="24"/>
  <c r="H29" i="24" s="1"/>
  <c r="G28" i="24"/>
  <c r="H28" i="24" s="1"/>
  <c r="G27" i="24"/>
  <c r="H27" i="24" s="1"/>
  <c r="G26" i="24"/>
  <c r="H26" i="24" s="1"/>
  <c r="G25" i="24"/>
  <c r="H25" i="24" s="1"/>
  <c r="G24" i="24"/>
  <c r="H24" i="24" s="1"/>
  <c r="M50" i="24"/>
  <c r="M49" i="24"/>
  <c r="M48" i="24"/>
  <c r="M47" i="24"/>
  <c r="M46" i="24"/>
  <c r="M45" i="24"/>
  <c r="H45" i="24"/>
  <c r="M42" i="24"/>
  <c r="M41" i="24"/>
  <c r="M39" i="24"/>
  <c r="M38" i="24"/>
  <c r="M37" i="24"/>
  <c r="M36" i="24"/>
  <c r="M35" i="24"/>
  <c r="M34" i="24"/>
  <c r="M33" i="24"/>
  <c r="M32" i="24"/>
  <c r="M31" i="24"/>
  <c r="M30" i="24"/>
  <c r="M29" i="24"/>
  <c r="M28" i="24"/>
  <c r="M27" i="24"/>
  <c r="M26" i="24"/>
  <c r="M25" i="24"/>
  <c r="M24" i="24"/>
  <c r="M21" i="24"/>
  <c r="H21" i="24"/>
  <c r="M20" i="24"/>
  <c r="H20" i="24"/>
  <c r="M17" i="24"/>
  <c r="H17" i="24"/>
  <c r="M16" i="24"/>
  <c r="H16" i="24"/>
  <c r="M15" i="24"/>
  <c r="H15" i="24"/>
  <c r="M14" i="24"/>
  <c r="H14" i="24"/>
  <c r="M13" i="24"/>
  <c r="H13" i="24"/>
  <c r="M12" i="24"/>
  <c r="H12" i="24"/>
  <c r="M11" i="24"/>
  <c r="H11" i="24"/>
  <c r="M10" i="24"/>
  <c r="H10" i="24"/>
  <c r="M52" i="23"/>
  <c r="M51" i="23"/>
  <c r="M50" i="23"/>
  <c r="M49" i="23"/>
  <c r="M48" i="23"/>
  <c r="M47" i="23"/>
  <c r="M44" i="23"/>
  <c r="M43" i="23"/>
  <c r="M42" i="23"/>
  <c r="H42" i="23"/>
  <c r="M41" i="23"/>
  <c r="M40" i="23"/>
  <c r="H40" i="23"/>
  <c r="M39" i="23"/>
  <c r="M38" i="23"/>
  <c r="M37" i="23"/>
  <c r="M36" i="23"/>
  <c r="M35" i="23"/>
  <c r="M34" i="23"/>
  <c r="M33" i="23"/>
  <c r="M32" i="23"/>
  <c r="M31" i="23"/>
  <c r="M30" i="23"/>
  <c r="M29" i="23"/>
  <c r="M28" i="23"/>
  <c r="M27" i="23"/>
  <c r="M26" i="23"/>
  <c r="M25" i="23"/>
  <c r="M24" i="23"/>
  <c r="H24" i="23"/>
  <c r="M21" i="23"/>
  <c r="H21" i="23"/>
  <c r="M20" i="23"/>
  <c r="H20" i="23"/>
  <c r="M17" i="23"/>
  <c r="H17" i="23"/>
  <c r="M16" i="23"/>
  <c r="M15" i="23"/>
  <c r="M14" i="23"/>
  <c r="M13" i="23"/>
  <c r="M12" i="23"/>
  <c r="M11" i="23"/>
  <c r="M10" i="23"/>
  <c r="M52" i="22"/>
  <c r="M51" i="22"/>
  <c r="M50" i="22"/>
  <c r="M49" i="22"/>
  <c r="M48" i="22"/>
  <c r="M47" i="22"/>
  <c r="M44" i="22"/>
  <c r="M43" i="22"/>
  <c r="M42" i="22"/>
  <c r="M41" i="22"/>
  <c r="M40" i="22"/>
  <c r="M39" i="22"/>
  <c r="M38" i="22"/>
  <c r="M37" i="22"/>
  <c r="M36" i="22"/>
  <c r="M35" i="22"/>
  <c r="M34" i="22"/>
  <c r="M33" i="22"/>
  <c r="M32" i="22"/>
  <c r="M31" i="22"/>
  <c r="M30" i="22"/>
  <c r="M29" i="22"/>
  <c r="M28" i="22"/>
  <c r="M27" i="22"/>
  <c r="M26" i="22"/>
  <c r="M25" i="22"/>
  <c r="M24" i="22"/>
  <c r="M21" i="22"/>
  <c r="H21" i="22"/>
  <c r="M20" i="22"/>
  <c r="H20" i="22"/>
  <c r="M17" i="22"/>
  <c r="H17" i="22"/>
  <c r="M16" i="22"/>
  <c r="H16" i="22"/>
  <c r="M15" i="22"/>
  <c r="H15" i="22"/>
  <c r="M14" i="22"/>
  <c r="H14" i="22"/>
  <c r="M13" i="22"/>
  <c r="H13" i="22"/>
  <c r="M12" i="22"/>
  <c r="H12" i="22"/>
  <c r="M11" i="22"/>
  <c r="H11" i="22"/>
  <c r="M10" i="22"/>
  <c r="H10" i="22"/>
  <c r="M51" i="21"/>
  <c r="M50" i="21"/>
  <c r="M49" i="21"/>
  <c r="M48" i="21"/>
  <c r="M47" i="21"/>
  <c r="M46" i="21"/>
  <c r="H46" i="21"/>
  <c r="M43" i="21"/>
  <c r="H43" i="21"/>
  <c r="M42" i="21"/>
  <c r="M41" i="21"/>
  <c r="M40" i="21"/>
  <c r="M39" i="21"/>
  <c r="M38" i="21"/>
  <c r="M37" i="21"/>
  <c r="M36" i="21"/>
  <c r="M35" i="21"/>
  <c r="M34" i="21"/>
  <c r="M33" i="21"/>
  <c r="M32" i="21"/>
  <c r="M31" i="21"/>
  <c r="M30" i="21"/>
  <c r="M29" i="21"/>
  <c r="M28" i="21"/>
  <c r="M27" i="21"/>
  <c r="M26" i="21"/>
  <c r="M25" i="21"/>
  <c r="M24" i="21"/>
  <c r="M23" i="21"/>
  <c r="M21" i="21"/>
  <c r="M20" i="21"/>
  <c r="H20" i="21"/>
  <c r="M17" i="21"/>
  <c r="H17" i="21"/>
  <c r="M16" i="21"/>
  <c r="H16" i="21"/>
  <c r="M15" i="21"/>
  <c r="H15" i="21"/>
  <c r="M14" i="21"/>
  <c r="H14" i="21"/>
  <c r="M13" i="21"/>
  <c r="M12" i="21"/>
  <c r="M11" i="21"/>
  <c r="M10" i="21"/>
  <c r="H13" i="21" l="1"/>
  <c r="G90" i="17"/>
  <c r="M80" i="17"/>
  <c r="F80" i="17"/>
  <c r="H80" i="17" s="1"/>
  <c r="M79" i="17"/>
  <c r="F79" i="17"/>
  <c r="H79" i="17" s="1"/>
  <c r="M78" i="17"/>
  <c r="H78" i="17"/>
  <c r="M77" i="17"/>
  <c r="F77" i="17"/>
  <c r="H77" i="17" s="1"/>
  <c r="M76" i="17"/>
  <c r="H76" i="17"/>
  <c r="M75" i="17"/>
  <c r="F75" i="17"/>
  <c r="K73" i="17"/>
  <c r="J73" i="17"/>
  <c r="I73" i="17"/>
  <c r="G73" i="17"/>
  <c r="D73" i="17"/>
  <c r="M72" i="17"/>
  <c r="F72" i="17"/>
  <c r="H72" i="17" s="1"/>
  <c r="M71" i="17"/>
  <c r="F71" i="17"/>
  <c r="H71" i="17" s="1"/>
  <c r="M70" i="17"/>
  <c r="F70" i="17"/>
  <c r="H70" i="17" s="1"/>
  <c r="M69" i="17"/>
  <c r="F69" i="17"/>
  <c r="H69" i="17" s="1"/>
  <c r="M68" i="17"/>
  <c r="F68" i="17"/>
  <c r="H68" i="17" s="1"/>
  <c r="M67" i="17"/>
  <c r="F67" i="17"/>
  <c r="H67" i="17" s="1"/>
  <c r="M66" i="17"/>
  <c r="H66" i="17"/>
  <c r="M65" i="17"/>
  <c r="F65" i="17"/>
  <c r="H65" i="17" s="1"/>
  <c r="M64" i="17"/>
  <c r="F64" i="17"/>
  <c r="H64" i="17" s="1"/>
  <c r="K62" i="17"/>
  <c r="J62" i="17"/>
  <c r="I62" i="17"/>
  <c r="G62" i="17"/>
  <c r="D62" i="17"/>
  <c r="M61" i="17"/>
  <c r="F61" i="17"/>
  <c r="H61" i="17" s="1"/>
  <c r="M60" i="17"/>
  <c r="F60" i="17"/>
  <c r="H60" i="17" s="1"/>
  <c r="M59" i="17"/>
  <c r="H59" i="17"/>
  <c r="M58" i="17"/>
  <c r="F58" i="17"/>
  <c r="H58" i="17" s="1"/>
  <c r="M57" i="17"/>
  <c r="F57" i="17"/>
  <c r="H57" i="17" s="1"/>
  <c r="M56" i="17"/>
  <c r="F56" i="17"/>
  <c r="H56" i="17" s="1"/>
  <c r="M55" i="17"/>
  <c r="F55" i="17"/>
  <c r="L53" i="17"/>
  <c r="L73" i="17" s="1"/>
  <c r="K53" i="17"/>
  <c r="J53" i="17"/>
  <c r="I53" i="17"/>
  <c r="F53" i="17"/>
  <c r="M52" i="17"/>
  <c r="G52" i="17"/>
  <c r="H52" i="17" s="1"/>
  <c r="M51" i="17"/>
  <c r="G51" i="17"/>
  <c r="H51" i="17" s="1"/>
  <c r="M50" i="17"/>
  <c r="G50" i="17"/>
  <c r="H50" i="17" s="1"/>
  <c r="M49" i="17"/>
  <c r="D49" i="17"/>
  <c r="G49" i="17" s="1"/>
  <c r="H49" i="17" s="1"/>
  <c r="M48" i="17"/>
  <c r="D48" i="17"/>
  <c r="G48" i="17" s="1"/>
  <c r="H48" i="17" s="1"/>
  <c r="M47" i="17"/>
  <c r="D47" i="17"/>
  <c r="G47" i="17" s="1"/>
  <c r="H47" i="17" s="1"/>
  <c r="M46" i="17"/>
  <c r="D46" i="17"/>
  <c r="G46" i="17" s="1"/>
  <c r="H46" i="17" s="1"/>
  <c r="M45" i="17"/>
  <c r="D45" i="17"/>
  <c r="G45" i="17" s="1"/>
  <c r="H45" i="17" s="1"/>
  <c r="M44" i="17"/>
  <c r="D44" i="17"/>
  <c r="G44" i="17" s="1"/>
  <c r="H44" i="17" s="1"/>
  <c r="M43" i="17"/>
  <c r="D43" i="17"/>
  <c r="G43" i="17" s="1"/>
  <c r="H43" i="17" s="1"/>
  <c r="M42" i="17"/>
  <c r="D42" i="17"/>
  <c r="G42" i="17" s="1"/>
  <c r="H42" i="17" s="1"/>
  <c r="M41" i="17"/>
  <c r="D41" i="17"/>
  <c r="G41" i="17" s="1"/>
  <c r="H41" i="17" s="1"/>
  <c r="M40" i="17"/>
  <c r="D40" i="17"/>
  <c r="G40" i="17" s="1"/>
  <c r="H40" i="17" s="1"/>
  <c r="M39" i="17"/>
  <c r="D39" i="17"/>
  <c r="G39" i="17" s="1"/>
  <c r="H39" i="17" s="1"/>
  <c r="M38" i="17"/>
  <c r="D38" i="17"/>
  <c r="G38" i="17" s="1"/>
  <c r="H38" i="17" s="1"/>
  <c r="M37" i="17"/>
  <c r="D37" i="17"/>
  <c r="G37" i="17" s="1"/>
  <c r="H37" i="17" s="1"/>
  <c r="M36" i="17"/>
  <c r="D36" i="17"/>
  <c r="G36" i="17" s="1"/>
  <c r="H36" i="17" s="1"/>
  <c r="M35" i="17"/>
  <c r="D35" i="17"/>
  <c r="G35" i="17" s="1"/>
  <c r="H35" i="17" s="1"/>
  <c r="M34" i="17"/>
  <c r="D34" i="17"/>
  <c r="G34" i="17" s="1"/>
  <c r="H34" i="17" s="1"/>
  <c r="M33" i="17"/>
  <c r="D33" i="17"/>
  <c r="G33" i="17" s="1"/>
  <c r="H33" i="17" s="1"/>
  <c r="M32" i="17"/>
  <c r="D32" i="17"/>
  <c r="G32" i="17" s="1"/>
  <c r="H32" i="17" s="1"/>
  <c r="M31" i="17"/>
  <c r="D31" i="17"/>
  <c r="G31" i="17" s="1"/>
  <c r="H31" i="17" s="1"/>
  <c r="M30" i="17"/>
  <c r="D30" i="17"/>
  <c r="G30" i="17" s="1"/>
  <c r="H30" i="17" s="1"/>
  <c r="M29" i="17"/>
  <c r="D29" i="17"/>
  <c r="G29" i="17" s="1"/>
  <c r="H29" i="17" s="1"/>
  <c r="M28" i="17"/>
  <c r="D28" i="17"/>
  <c r="G28" i="17" s="1"/>
  <c r="H28" i="17" s="1"/>
  <c r="M27" i="17"/>
  <c r="D27" i="17"/>
  <c r="G27" i="17" s="1"/>
  <c r="H27" i="17" s="1"/>
  <c r="M26" i="17"/>
  <c r="D26" i="17"/>
  <c r="K24" i="17"/>
  <c r="J24" i="17"/>
  <c r="I24" i="17"/>
  <c r="G24" i="17"/>
  <c r="F24" i="17"/>
  <c r="D24" i="17"/>
  <c r="M22" i="17"/>
  <c r="H22" i="17"/>
  <c r="M20" i="17"/>
  <c r="M24" i="17" s="1"/>
  <c r="G20" i="17"/>
  <c r="H20" i="17" s="1"/>
  <c r="H24" i="17" s="1"/>
  <c r="K18" i="17"/>
  <c r="J18" i="17"/>
  <c r="I18" i="17"/>
  <c r="D18" i="17"/>
  <c r="M17" i="17"/>
  <c r="H17" i="17"/>
  <c r="M16" i="17"/>
  <c r="H16" i="17"/>
  <c r="M15" i="17"/>
  <c r="H15" i="17"/>
  <c r="M14" i="17"/>
  <c r="G14" i="17"/>
  <c r="F14" i="17"/>
  <c r="H14" i="17" s="1"/>
  <c r="M13" i="17"/>
  <c r="G13" i="17"/>
  <c r="H13" i="17" s="1"/>
  <c r="M12" i="17"/>
  <c r="G12" i="17"/>
  <c r="H12" i="17" s="1"/>
  <c r="M11" i="17"/>
  <c r="G11" i="17"/>
  <c r="H11" i="17" s="1"/>
  <c r="M10" i="17"/>
  <c r="G10" i="17"/>
  <c r="F10" i="17"/>
  <c r="H10" i="17" s="1"/>
  <c r="K82" i="15"/>
  <c r="J81" i="15"/>
  <c r="M81" i="15" s="1"/>
  <c r="I80" i="15"/>
  <c r="M78" i="15"/>
  <c r="M77" i="15"/>
  <c r="M76" i="15"/>
  <c r="M75" i="15"/>
  <c r="M74" i="15"/>
  <c r="L80" i="15"/>
  <c r="M80" i="15" s="1"/>
  <c r="M79" i="15"/>
  <c r="G20" i="16"/>
  <c r="H20" i="16" s="1"/>
  <c r="H24" i="16" s="1"/>
  <c r="F14" i="16"/>
  <c r="H14" i="16" s="1"/>
  <c r="F10" i="16"/>
  <c r="H10" i="16" s="1"/>
  <c r="G82" i="16"/>
  <c r="D82" i="16"/>
  <c r="M80" i="16"/>
  <c r="F80" i="16"/>
  <c r="H80" i="16" s="1"/>
  <c r="M79" i="16"/>
  <c r="F79" i="16"/>
  <c r="H79" i="16" s="1"/>
  <c r="M78" i="16"/>
  <c r="H78" i="16"/>
  <c r="M77" i="16"/>
  <c r="F77" i="16"/>
  <c r="H77" i="16" s="1"/>
  <c r="M76" i="16"/>
  <c r="H76" i="16"/>
  <c r="M75" i="16"/>
  <c r="F75" i="16"/>
  <c r="H75" i="16" s="1"/>
  <c r="L73" i="16"/>
  <c r="K73" i="16"/>
  <c r="J73" i="16"/>
  <c r="I73" i="16"/>
  <c r="G73" i="16"/>
  <c r="D73" i="16"/>
  <c r="M72" i="16"/>
  <c r="F72" i="16"/>
  <c r="H72" i="16" s="1"/>
  <c r="M71" i="16"/>
  <c r="F71" i="16"/>
  <c r="H71" i="16" s="1"/>
  <c r="M70" i="16"/>
  <c r="F70" i="16"/>
  <c r="H70" i="16" s="1"/>
  <c r="M69" i="16"/>
  <c r="F69" i="16"/>
  <c r="H69" i="16" s="1"/>
  <c r="M68" i="16"/>
  <c r="F68" i="16"/>
  <c r="H68" i="16" s="1"/>
  <c r="M67" i="16"/>
  <c r="F67" i="16"/>
  <c r="H67" i="16" s="1"/>
  <c r="M66" i="16"/>
  <c r="H66" i="16"/>
  <c r="M65" i="16"/>
  <c r="F65" i="16"/>
  <c r="H65" i="16" s="1"/>
  <c r="M64" i="16"/>
  <c r="M73" i="16" s="1"/>
  <c r="F64" i="16"/>
  <c r="K62" i="16"/>
  <c r="J62" i="16"/>
  <c r="I62" i="16"/>
  <c r="G62" i="16"/>
  <c r="D62" i="16"/>
  <c r="M61" i="16"/>
  <c r="F61" i="16"/>
  <c r="H61" i="16" s="1"/>
  <c r="M60" i="16"/>
  <c r="F60" i="16"/>
  <c r="H60" i="16" s="1"/>
  <c r="M59" i="16"/>
  <c r="H59" i="16"/>
  <c r="M58" i="16"/>
  <c r="F58" i="16"/>
  <c r="H58" i="16" s="1"/>
  <c r="M57" i="16"/>
  <c r="F57" i="16"/>
  <c r="H57" i="16" s="1"/>
  <c r="M56" i="16"/>
  <c r="F56" i="16"/>
  <c r="H56" i="16" s="1"/>
  <c r="M55" i="16"/>
  <c r="F55" i="16"/>
  <c r="L53" i="16"/>
  <c r="K53" i="16"/>
  <c r="J53" i="16"/>
  <c r="I53" i="16"/>
  <c r="F53" i="16"/>
  <c r="M52" i="16"/>
  <c r="G52" i="16"/>
  <c r="H52" i="16" s="1"/>
  <c r="M51" i="16"/>
  <c r="G51" i="16"/>
  <c r="H51" i="16" s="1"/>
  <c r="M50" i="16"/>
  <c r="G50" i="16"/>
  <c r="H50" i="16" s="1"/>
  <c r="M49" i="16"/>
  <c r="D49" i="16"/>
  <c r="G49" i="16" s="1"/>
  <c r="H49" i="16" s="1"/>
  <c r="M48" i="16"/>
  <c r="D48" i="16"/>
  <c r="G48" i="16" s="1"/>
  <c r="H48" i="16" s="1"/>
  <c r="M47" i="16"/>
  <c r="D47" i="16"/>
  <c r="G47" i="16" s="1"/>
  <c r="H47" i="16" s="1"/>
  <c r="M46" i="16"/>
  <c r="D46" i="16"/>
  <c r="G46" i="16" s="1"/>
  <c r="H46" i="16" s="1"/>
  <c r="M45" i="16"/>
  <c r="D45" i="16"/>
  <c r="G45" i="16" s="1"/>
  <c r="H45" i="16" s="1"/>
  <c r="M44" i="16"/>
  <c r="D44" i="16"/>
  <c r="G44" i="16" s="1"/>
  <c r="H44" i="16" s="1"/>
  <c r="M43" i="16"/>
  <c r="D43" i="16"/>
  <c r="G43" i="16" s="1"/>
  <c r="H43" i="16" s="1"/>
  <c r="M42" i="16"/>
  <c r="D42" i="16"/>
  <c r="G42" i="16" s="1"/>
  <c r="H42" i="16" s="1"/>
  <c r="M41" i="16"/>
  <c r="D41" i="16"/>
  <c r="G41" i="16" s="1"/>
  <c r="H41" i="16" s="1"/>
  <c r="M40" i="16"/>
  <c r="D40" i="16"/>
  <c r="G40" i="16" s="1"/>
  <c r="H40" i="16" s="1"/>
  <c r="M39" i="16"/>
  <c r="D39" i="16"/>
  <c r="G39" i="16" s="1"/>
  <c r="H39" i="16" s="1"/>
  <c r="M38" i="16"/>
  <c r="D38" i="16"/>
  <c r="G38" i="16" s="1"/>
  <c r="H38" i="16" s="1"/>
  <c r="M37" i="16"/>
  <c r="D37" i="16"/>
  <c r="G37" i="16" s="1"/>
  <c r="H37" i="16" s="1"/>
  <c r="M36" i="16"/>
  <c r="D36" i="16"/>
  <c r="G36" i="16" s="1"/>
  <c r="H36" i="16" s="1"/>
  <c r="M35" i="16"/>
  <c r="D35" i="16"/>
  <c r="G35" i="16" s="1"/>
  <c r="H35" i="16" s="1"/>
  <c r="M34" i="16"/>
  <c r="D34" i="16"/>
  <c r="G34" i="16" s="1"/>
  <c r="H34" i="16" s="1"/>
  <c r="M33" i="16"/>
  <c r="D33" i="16"/>
  <c r="G33" i="16" s="1"/>
  <c r="H33" i="16" s="1"/>
  <c r="M32" i="16"/>
  <c r="D32" i="16"/>
  <c r="G32" i="16" s="1"/>
  <c r="H32" i="16" s="1"/>
  <c r="M31" i="16"/>
  <c r="D31" i="16"/>
  <c r="G31" i="16" s="1"/>
  <c r="H31" i="16" s="1"/>
  <c r="M30" i="16"/>
  <c r="D30" i="16"/>
  <c r="G30" i="16" s="1"/>
  <c r="H30" i="16" s="1"/>
  <c r="M29" i="16"/>
  <c r="D29" i="16"/>
  <c r="G29" i="16" s="1"/>
  <c r="H29" i="16" s="1"/>
  <c r="M28" i="16"/>
  <c r="D28" i="16"/>
  <c r="G28" i="16" s="1"/>
  <c r="H28" i="16" s="1"/>
  <c r="M27" i="16"/>
  <c r="D27" i="16"/>
  <c r="G27" i="16" s="1"/>
  <c r="H27" i="16" s="1"/>
  <c r="M26" i="16"/>
  <c r="D26" i="16"/>
  <c r="K24" i="16"/>
  <c r="J24" i="16"/>
  <c r="I24" i="16"/>
  <c r="F24" i="16"/>
  <c r="D24" i="16"/>
  <c r="M22" i="16"/>
  <c r="M24" i="16" s="1"/>
  <c r="H22" i="16"/>
  <c r="M20" i="16"/>
  <c r="K18" i="16"/>
  <c r="J18" i="16"/>
  <c r="I18" i="16"/>
  <c r="D18" i="16"/>
  <c r="M17" i="16"/>
  <c r="H17" i="16"/>
  <c r="M16" i="16"/>
  <c r="H16" i="16"/>
  <c r="M15" i="16"/>
  <c r="H15" i="16"/>
  <c r="M14" i="16"/>
  <c r="G14" i="16"/>
  <c r="M13" i="16"/>
  <c r="G13" i="16"/>
  <c r="H13" i="16" s="1"/>
  <c r="M12" i="16"/>
  <c r="G12" i="16"/>
  <c r="H12" i="16" s="1"/>
  <c r="M11" i="16"/>
  <c r="G11" i="16"/>
  <c r="H11" i="16" s="1"/>
  <c r="M10" i="16"/>
  <c r="M18" i="16" s="1"/>
  <c r="G10" i="16"/>
  <c r="M65" i="15"/>
  <c r="H65" i="15"/>
  <c r="M58" i="15"/>
  <c r="H58" i="15"/>
  <c r="G81" i="15"/>
  <c r="H77" i="15"/>
  <c r="H75" i="15"/>
  <c r="F79" i="15"/>
  <c r="H79" i="15" s="1"/>
  <c r="F78" i="15"/>
  <c r="H78" i="15" s="1"/>
  <c r="F76" i="15"/>
  <c r="H76" i="15" s="1"/>
  <c r="F74" i="15"/>
  <c r="H74" i="15" s="1"/>
  <c r="G22" i="15"/>
  <c r="H22" i="15" s="1"/>
  <c r="G20" i="15"/>
  <c r="F14" i="15"/>
  <c r="G14" i="15"/>
  <c r="G13" i="15"/>
  <c r="H13" i="15" s="1"/>
  <c r="G12" i="15"/>
  <c r="H12" i="15" s="1"/>
  <c r="G11" i="15"/>
  <c r="H11" i="15" s="1"/>
  <c r="G10" i="15"/>
  <c r="F10" i="15"/>
  <c r="F71" i="15"/>
  <c r="H71" i="15" s="1"/>
  <c r="F70" i="15"/>
  <c r="H70" i="15" s="1"/>
  <c r="F69" i="15"/>
  <c r="H69" i="15" s="1"/>
  <c r="F68" i="15"/>
  <c r="H68" i="15" s="1"/>
  <c r="F67" i="15"/>
  <c r="H67" i="15" s="1"/>
  <c r="F66" i="15"/>
  <c r="H66" i="15" s="1"/>
  <c r="F64" i="15"/>
  <c r="H64" i="15" s="1"/>
  <c r="F63" i="15"/>
  <c r="F57" i="15"/>
  <c r="H57" i="15" s="1"/>
  <c r="M60" i="15"/>
  <c r="F60" i="15"/>
  <c r="H60" i="15" s="1"/>
  <c r="M59" i="15"/>
  <c r="F59" i="15"/>
  <c r="H59" i="15" s="1"/>
  <c r="M57" i="15"/>
  <c r="M56" i="15"/>
  <c r="F56" i="15"/>
  <c r="H56" i="15" s="1"/>
  <c r="M55" i="15"/>
  <c r="F55" i="15"/>
  <c r="H55" i="15" s="1"/>
  <c r="F54" i="15"/>
  <c r="D26" i="15"/>
  <c r="G26" i="15" s="1"/>
  <c r="D27" i="15"/>
  <c r="G27" i="15" s="1"/>
  <c r="M51" i="15"/>
  <c r="G51" i="15"/>
  <c r="H51" i="15" s="1"/>
  <c r="M50" i="15"/>
  <c r="G50" i="15"/>
  <c r="H50" i="15" s="1"/>
  <c r="M49" i="15"/>
  <c r="M48" i="15"/>
  <c r="M47" i="15"/>
  <c r="M46" i="15"/>
  <c r="M45" i="15"/>
  <c r="M44" i="15"/>
  <c r="M43" i="15"/>
  <c r="M42" i="15"/>
  <c r="G40" i="15"/>
  <c r="G28" i="15"/>
  <c r="D49" i="15"/>
  <c r="G49" i="15" s="1"/>
  <c r="H49" i="15" s="1"/>
  <c r="D48" i="15"/>
  <c r="G48" i="15" s="1"/>
  <c r="H48" i="15" s="1"/>
  <c r="D47" i="15"/>
  <c r="G47" i="15" s="1"/>
  <c r="H47" i="15" s="1"/>
  <c r="D46" i="15"/>
  <c r="G46" i="15" s="1"/>
  <c r="H46" i="15" s="1"/>
  <c r="D45" i="15"/>
  <c r="G45" i="15" s="1"/>
  <c r="H45" i="15" s="1"/>
  <c r="D44" i="15"/>
  <c r="G44" i="15" s="1"/>
  <c r="H44" i="15" s="1"/>
  <c r="D43" i="15"/>
  <c r="G43" i="15" s="1"/>
  <c r="H43" i="15" s="1"/>
  <c r="D42" i="15"/>
  <c r="G42" i="15" s="1"/>
  <c r="H42" i="15" s="1"/>
  <c r="D41" i="15"/>
  <c r="G41" i="15" s="1"/>
  <c r="D40" i="15"/>
  <c r="D39" i="15"/>
  <c r="G39" i="15" s="1"/>
  <c r="D38" i="15"/>
  <c r="G38" i="15" s="1"/>
  <c r="D37" i="15"/>
  <c r="G37" i="15" s="1"/>
  <c r="D36" i="15"/>
  <c r="G36" i="15" s="1"/>
  <c r="D35" i="15"/>
  <c r="G35" i="15" s="1"/>
  <c r="D34" i="15"/>
  <c r="G34" i="15" s="1"/>
  <c r="D33" i="15"/>
  <c r="G33" i="15" s="1"/>
  <c r="D32" i="15"/>
  <c r="G32" i="15" s="1"/>
  <c r="D31" i="15"/>
  <c r="G31" i="15" s="1"/>
  <c r="D30" i="15"/>
  <c r="G30" i="15" s="1"/>
  <c r="D29" i="15"/>
  <c r="G29" i="15" s="1"/>
  <c r="D28" i="15"/>
  <c r="M22" i="15"/>
  <c r="H81" i="15" l="1"/>
  <c r="F62" i="16"/>
  <c r="D53" i="16"/>
  <c r="H14" i="15"/>
  <c r="F73" i="16"/>
  <c r="G18" i="16"/>
  <c r="M18" i="17"/>
  <c r="M53" i="17"/>
  <c r="M62" i="17"/>
  <c r="F90" i="17"/>
  <c r="D53" i="17"/>
  <c r="G26" i="17"/>
  <c r="H18" i="17"/>
  <c r="F18" i="17"/>
  <c r="F62" i="17"/>
  <c r="G18" i="17"/>
  <c r="H73" i="17"/>
  <c r="M73" i="17"/>
  <c r="F73" i="17"/>
  <c r="H75" i="17"/>
  <c r="H90" i="17" s="1"/>
  <c r="H55" i="17"/>
  <c r="H62" i="17" s="1"/>
  <c r="F81" i="15"/>
  <c r="M62" i="16"/>
  <c r="M53" i="16"/>
  <c r="H18" i="16"/>
  <c r="G24" i="16"/>
  <c r="H82" i="16"/>
  <c r="F82" i="16"/>
  <c r="F18" i="16"/>
  <c r="H55" i="16"/>
  <c r="H62" i="16" s="1"/>
  <c r="H64" i="16"/>
  <c r="H73" i="16" s="1"/>
  <c r="G26" i="16"/>
  <c r="D55" i="14"/>
  <c r="D54" i="14"/>
  <c r="D53" i="14"/>
  <c r="D43" i="14"/>
  <c r="D40" i="14"/>
  <c r="D57" i="14"/>
  <c r="D52" i="14"/>
  <c r="D36" i="14"/>
  <c r="D39" i="14"/>
  <c r="D38" i="14"/>
  <c r="D37" i="14"/>
  <c r="D41" i="14"/>
  <c r="D42" i="14"/>
  <c r="D45" i="14"/>
  <c r="D44" i="14"/>
  <c r="D46" i="14"/>
  <c r="D49" i="14"/>
  <c r="D48" i="14"/>
  <c r="D47" i="14"/>
  <c r="D59" i="14"/>
  <c r="D58" i="14"/>
  <c r="D50" i="14"/>
  <c r="D51" i="14"/>
  <c r="D56" i="14"/>
  <c r="D99" i="14"/>
  <c r="K78" i="14"/>
  <c r="J78" i="14"/>
  <c r="I78" i="14"/>
  <c r="G78" i="14"/>
  <c r="F78" i="14"/>
  <c r="D78" i="14"/>
  <c r="M77" i="14"/>
  <c r="H77" i="14"/>
  <c r="M76" i="14"/>
  <c r="H76" i="14"/>
  <c r="M75" i="14"/>
  <c r="H75" i="14"/>
  <c r="M74" i="14"/>
  <c r="H74" i="14"/>
  <c r="M73" i="14"/>
  <c r="H73" i="14"/>
  <c r="M72" i="14"/>
  <c r="H72" i="14"/>
  <c r="M71" i="14"/>
  <c r="H71" i="14"/>
  <c r="M70" i="14"/>
  <c r="H70" i="14"/>
  <c r="K68" i="14"/>
  <c r="J68" i="14"/>
  <c r="I68" i="14"/>
  <c r="G68" i="14"/>
  <c r="D68" i="14"/>
  <c r="M67" i="14"/>
  <c r="F67" i="14"/>
  <c r="F68" i="14" s="1"/>
  <c r="M66" i="14"/>
  <c r="H66" i="14"/>
  <c r="M65" i="14"/>
  <c r="H65" i="14"/>
  <c r="M64" i="14"/>
  <c r="H64" i="14"/>
  <c r="M63" i="14"/>
  <c r="H63" i="14"/>
  <c r="M62" i="14"/>
  <c r="H62" i="14"/>
  <c r="L60" i="14"/>
  <c r="L78" i="14" s="1"/>
  <c r="K60" i="14"/>
  <c r="J60" i="14"/>
  <c r="I60" i="14"/>
  <c r="G60" i="14"/>
  <c r="F60" i="14"/>
  <c r="M59" i="14"/>
  <c r="H59" i="14"/>
  <c r="M58" i="14"/>
  <c r="H58" i="14"/>
  <c r="M57" i="14"/>
  <c r="H57" i="14"/>
  <c r="M56" i="14"/>
  <c r="H56" i="14"/>
  <c r="M52" i="14"/>
  <c r="H52" i="14"/>
  <c r="M51" i="14"/>
  <c r="H51" i="14"/>
  <c r="M50" i="14"/>
  <c r="H50" i="14"/>
  <c r="M49" i="14"/>
  <c r="H49" i="14"/>
  <c r="M48" i="14"/>
  <c r="H48" i="14"/>
  <c r="M47" i="14"/>
  <c r="H47" i="14"/>
  <c r="M46" i="14"/>
  <c r="H46" i="14"/>
  <c r="M45" i="14"/>
  <c r="H45" i="14"/>
  <c r="M44" i="14"/>
  <c r="H44" i="14"/>
  <c r="M43" i="14"/>
  <c r="H43" i="14"/>
  <c r="M42" i="14"/>
  <c r="H42" i="14"/>
  <c r="M41" i="14"/>
  <c r="H41" i="14"/>
  <c r="M40" i="14"/>
  <c r="H40" i="14"/>
  <c r="M39" i="14"/>
  <c r="H39" i="14"/>
  <c r="M38" i="14"/>
  <c r="H38" i="14"/>
  <c r="M37" i="14"/>
  <c r="H37" i="14"/>
  <c r="M36" i="14"/>
  <c r="H36" i="14"/>
  <c r="K34" i="14"/>
  <c r="J34" i="14"/>
  <c r="I34" i="14"/>
  <c r="G34" i="14"/>
  <c r="F34" i="14"/>
  <c r="D34" i="14"/>
  <c r="M33" i="14"/>
  <c r="H33" i="14"/>
  <c r="M24" i="14"/>
  <c r="H24" i="14"/>
  <c r="K22" i="14"/>
  <c r="J22" i="14"/>
  <c r="I22" i="14"/>
  <c r="G22" i="14"/>
  <c r="F22" i="14"/>
  <c r="D22" i="14"/>
  <c r="M21" i="14"/>
  <c r="H21" i="14"/>
  <c r="M20" i="14"/>
  <c r="H20" i="14"/>
  <c r="M11" i="14"/>
  <c r="H11" i="14"/>
  <c r="M10" i="14"/>
  <c r="M22" i="14" s="1"/>
  <c r="H10" i="14"/>
  <c r="L63" i="19"/>
  <c r="K63" i="19"/>
  <c r="J63" i="19"/>
  <c r="I63" i="19"/>
  <c r="G63" i="19"/>
  <c r="F63" i="19"/>
  <c r="D63" i="19"/>
  <c r="M62" i="19"/>
  <c r="H62" i="19"/>
  <c r="M61" i="19"/>
  <c r="H61" i="19"/>
  <c r="M60" i="19"/>
  <c r="H60" i="19"/>
  <c r="M59" i="19"/>
  <c r="H59" i="19"/>
  <c r="M58" i="19"/>
  <c r="H58" i="19"/>
  <c r="M57" i="19"/>
  <c r="H57" i="19"/>
  <c r="M56" i="19"/>
  <c r="H56" i="19"/>
  <c r="M55" i="19"/>
  <c r="H55" i="19"/>
  <c r="K53" i="19"/>
  <c r="J53" i="19"/>
  <c r="I53" i="19"/>
  <c r="G53" i="19"/>
  <c r="D53" i="19"/>
  <c r="M52" i="19"/>
  <c r="F52" i="19"/>
  <c r="H52" i="19" s="1"/>
  <c r="M51" i="19"/>
  <c r="H51" i="19"/>
  <c r="M50" i="19"/>
  <c r="H50" i="19"/>
  <c r="M49" i="19"/>
  <c r="H49" i="19"/>
  <c r="M48" i="19"/>
  <c r="H48" i="19"/>
  <c r="M47" i="19"/>
  <c r="H47" i="19"/>
  <c r="L45" i="19"/>
  <c r="K45" i="19"/>
  <c r="J45" i="19"/>
  <c r="I45" i="19"/>
  <c r="G45" i="19"/>
  <c r="F45" i="19"/>
  <c r="D45" i="19"/>
  <c r="M44" i="19"/>
  <c r="H44" i="19"/>
  <c r="M43" i="19"/>
  <c r="H43" i="19"/>
  <c r="M42" i="19"/>
  <c r="H42" i="19"/>
  <c r="M41" i="19"/>
  <c r="H41" i="19"/>
  <c r="M40" i="19"/>
  <c r="H40" i="19"/>
  <c r="M39" i="19"/>
  <c r="H39" i="19"/>
  <c r="M38" i="19"/>
  <c r="H38" i="19"/>
  <c r="M37" i="19"/>
  <c r="H37" i="19"/>
  <c r="M36" i="19"/>
  <c r="H36" i="19"/>
  <c r="M35" i="19"/>
  <c r="H35" i="19"/>
  <c r="M34" i="19"/>
  <c r="H34" i="19"/>
  <c r="M33" i="19"/>
  <c r="H33" i="19"/>
  <c r="M32" i="19"/>
  <c r="H32" i="19"/>
  <c r="M31" i="19"/>
  <c r="H31" i="19"/>
  <c r="M30" i="19"/>
  <c r="H30" i="19"/>
  <c r="M29" i="19"/>
  <c r="H29" i="19"/>
  <c r="M28" i="19"/>
  <c r="H28" i="19"/>
  <c r="M27" i="19"/>
  <c r="H27" i="19"/>
  <c r="H45" i="19" s="1"/>
  <c r="M26" i="19"/>
  <c r="H26" i="19"/>
  <c r="M25" i="19"/>
  <c r="H25" i="19"/>
  <c r="M24" i="19"/>
  <c r="H24" i="19"/>
  <c r="K22" i="19"/>
  <c r="J22" i="19"/>
  <c r="I22" i="19"/>
  <c r="G22" i="19"/>
  <c r="F22" i="19"/>
  <c r="D22" i="19"/>
  <c r="M21" i="19"/>
  <c r="H21" i="19"/>
  <c r="M20" i="19"/>
  <c r="H20" i="19"/>
  <c r="K18" i="19"/>
  <c r="J18" i="19"/>
  <c r="I18" i="19"/>
  <c r="G18" i="19"/>
  <c r="F18" i="19"/>
  <c r="D18" i="19"/>
  <c r="M17" i="19"/>
  <c r="H17" i="19"/>
  <c r="M16" i="19"/>
  <c r="H16" i="19"/>
  <c r="M15" i="19"/>
  <c r="H15" i="19"/>
  <c r="M14" i="19"/>
  <c r="H14" i="19"/>
  <c r="M13" i="19"/>
  <c r="H13" i="19"/>
  <c r="M12" i="19"/>
  <c r="H12" i="19"/>
  <c r="M11" i="19"/>
  <c r="H11" i="19"/>
  <c r="H18" i="19" s="1"/>
  <c r="M10" i="19"/>
  <c r="H10" i="19"/>
  <c r="D81" i="15"/>
  <c r="D72" i="15"/>
  <c r="K72" i="15"/>
  <c r="J72" i="15"/>
  <c r="I72" i="15"/>
  <c r="G72" i="15"/>
  <c r="F72" i="15"/>
  <c r="M71" i="15"/>
  <c r="M70" i="15"/>
  <c r="M69" i="15"/>
  <c r="M68" i="15"/>
  <c r="M67" i="15"/>
  <c r="M66" i="15"/>
  <c r="M64" i="15"/>
  <c r="M63" i="15"/>
  <c r="H63" i="15"/>
  <c r="H72" i="15" s="1"/>
  <c r="K61" i="15"/>
  <c r="J61" i="15"/>
  <c r="I61" i="15"/>
  <c r="G61" i="15"/>
  <c r="D61" i="15"/>
  <c r="M54" i="15"/>
  <c r="H54" i="15"/>
  <c r="L52" i="15"/>
  <c r="L72" i="15" s="1"/>
  <c r="K52" i="15"/>
  <c r="J52" i="15"/>
  <c r="I52" i="15"/>
  <c r="G52" i="15"/>
  <c r="F52" i="15"/>
  <c r="D52" i="15"/>
  <c r="M41" i="15"/>
  <c r="H41" i="15"/>
  <c r="M40" i="15"/>
  <c r="H40" i="15"/>
  <c r="M39" i="15"/>
  <c r="H39" i="15"/>
  <c r="M38" i="15"/>
  <c r="H38" i="15"/>
  <c r="M37" i="15"/>
  <c r="H37" i="15"/>
  <c r="M36" i="15"/>
  <c r="H36" i="15"/>
  <c r="M35" i="15"/>
  <c r="H35" i="15"/>
  <c r="M34" i="15"/>
  <c r="H34" i="15"/>
  <c r="M33" i="15"/>
  <c r="H33" i="15"/>
  <c r="M32" i="15"/>
  <c r="H32" i="15"/>
  <c r="M31" i="15"/>
  <c r="H31" i="15"/>
  <c r="M30" i="15"/>
  <c r="H30" i="15"/>
  <c r="M29" i="15"/>
  <c r="H29" i="15"/>
  <c r="M28" i="15"/>
  <c r="H28" i="15"/>
  <c r="M27" i="15"/>
  <c r="H27" i="15"/>
  <c r="M26" i="15"/>
  <c r="H26" i="15"/>
  <c r="K24" i="15"/>
  <c r="J24" i="15"/>
  <c r="I24" i="15"/>
  <c r="G24" i="15"/>
  <c r="F24" i="15"/>
  <c r="D24" i="15"/>
  <c r="M20" i="15"/>
  <c r="H20" i="15"/>
  <c r="K18" i="15"/>
  <c r="J18" i="15"/>
  <c r="I18" i="15"/>
  <c r="G18" i="15"/>
  <c r="F18" i="15"/>
  <c r="D18" i="15"/>
  <c r="M17" i="15"/>
  <c r="H17" i="15"/>
  <c r="M16" i="15"/>
  <c r="H16" i="15"/>
  <c r="M15" i="15"/>
  <c r="H15" i="15"/>
  <c r="M14" i="15"/>
  <c r="M13" i="15"/>
  <c r="M12" i="15"/>
  <c r="M11" i="15"/>
  <c r="M10" i="15"/>
  <c r="H10" i="15"/>
  <c r="M22" i="19" l="1"/>
  <c r="M63" i="19"/>
  <c r="H22" i="19"/>
  <c r="H63" i="19"/>
  <c r="M45" i="19"/>
  <c r="H53" i="19"/>
  <c r="M18" i="19"/>
  <c r="M53" i="19"/>
  <c r="G53" i="17"/>
  <c r="H26" i="17"/>
  <c r="H53" i="17" s="1"/>
  <c r="G53" i="16"/>
  <c r="H26" i="16"/>
  <c r="H53" i="16" s="1"/>
  <c r="M72" i="15"/>
  <c r="H52" i="15"/>
  <c r="M18" i="15"/>
  <c r="M52" i="15"/>
  <c r="M61" i="15"/>
  <c r="H18" i="15"/>
  <c r="M24" i="15"/>
  <c r="H24" i="15"/>
  <c r="M78" i="14"/>
  <c r="M60" i="14"/>
  <c r="D60" i="14"/>
  <c r="M34" i="14"/>
  <c r="H22" i="14"/>
  <c r="H34" i="14"/>
  <c r="H60" i="14"/>
  <c r="H78" i="14"/>
  <c r="M68" i="14"/>
  <c r="H67" i="14"/>
  <c r="H68" i="14" s="1"/>
  <c r="F53" i="19"/>
  <c r="H61" i="15"/>
  <c r="F61" i="15"/>
  <c r="M65" i="11" l="1"/>
  <c r="H65" i="11"/>
  <c r="M64" i="11"/>
  <c r="H64" i="11"/>
  <c r="M63" i="11"/>
  <c r="H63" i="11"/>
  <c r="M62" i="11"/>
  <c r="H62" i="11"/>
  <c r="M61" i="11"/>
  <c r="H61" i="11"/>
  <c r="M60" i="11"/>
  <c r="H60" i="11"/>
  <c r="M59" i="11"/>
  <c r="H59" i="11"/>
  <c r="M58" i="11"/>
  <c r="H58" i="11"/>
  <c r="M55" i="11"/>
  <c r="F55" i="11"/>
  <c r="H55" i="11" s="1"/>
  <c r="M54" i="11"/>
  <c r="H54" i="11"/>
  <c r="M53" i="11"/>
  <c r="H53" i="11"/>
  <c r="M52" i="11"/>
  <c r="H52" i="11"/>
  <c r="M51" i="11"/>
  <c r="H51" i="11"/>
  <c r="M50" i="11"/>
  <c r="H50" i="11"/>
  <c r="M47" i="11"/>
  <c r="H47" i="11"/>
  <c r="M46" i="11"/>
  <c r="H46" i="11"/>
  <c r="M45" i="11"/>
  <c r="H45" i="11"/>
  <c r="M44" i="11"/>
  <c r="H44" i="11"/>
  <c r="M43" i="11"/>
  <c r="H43" i="11"/>
  <c r="M42" i="11"/>
  <c r="H42" i="11"/>
  <c r="M41" i="11"/>
  <c r="H41" i="11"/>
  <c r="M40" i="11"/>
  <c r="H40" i="11"/>
  <c r="M39" i="11"/>
  <c r="H39" i="11"/>
  <c r="M38" i="11"/>
  <c r="H38" i="11"/>
  <c r="M37" i="11"/>
  <c r="H37" i="11"/>
  <c r="M36" i="11"/>
  <c r="H36" i="11"/>
  <c r="M35" i="11"/>
  <c r="H35" i="11"/>
  <c r="M34" i="11"/>
  <c r="H34" i="11"/>
  <c r="M33" i="11"/>
  <c r="H33" i="11"/>
  <c r="M32" i="11"/>
  <c r="H32" i="11"/>
  <c r="M31" i="11"/>
  <c r="H31" i="11"/>
  <c r="M30" i="11"/>
  <c r="H30" i="11"/>
  <c r="M29" i="11"/>
  <c r="H29" i="11"/>
  <c r="M28" i="11"/>
  <c r="H28" i="11"/>
  <c r="M27" i="11"/>
  <c r="H27" i="11"/>
  <c r="M21" i="11"/>
  <c r="H21" i="11"/>
  <c r="M20" i="11"/>
  <c r="H20" i="11"/>
  <c r="M17" i="11"/>
  <c r="H17" i="11"/>
  <c r="M16" i="11"/>
  <c r="H16" i="11"/>
  <c r="M15" i="11"/>
  <c r="H15" i="11"/>
  <c r="M14" i="11"/>
  <c r="H14" i="11"/>
  <c r="M13" i="11"/>
  <c r="H13" i="11"/>
  <c r="M12" i="11"/>
  <c r="H12" i="11"/>
  <c r="M11" i="11"/>
  <c r="H11" i="11"/>
  <c r="M10" i="11"/>
  <c r="H10" i="11"/>
  <c r="M62" i="9" l="1"/>
  <c r="H62" i="9"/>
  <c r="M61" i="9"/>
  <c r="H61" i="9"/>
  <c r="M60" i="9"/>
  <c r="H60" i="9"/>
  <c r="M59" i="9"/>
  <c r="H59" i="9"/>
  <c r="M58" i="9"/>
  <c r="H58" i="9"/>
  <c r="M57" i="9"/>
  <c r="H57" i="9"/>
  <c r="M56" i="9"/>
  <c r="H56" i="9"/>
  <c r="M55" i="9"/>
  <c r="H55" i="9"/>
  <c r="H60" i="7"/>
  <c r="M60" i="7"/>
  <c r="H61" i="7"/>
  <c r="M61" i="7"/>
  <c r="H62" i="7"/>
  <c r="M62" i="7"/>
  <c r="M52" i="9"/>
  <c r="F52" i="9"/>
  <c r="H52" i="9" s="1"/>
  <c r="M51" i="9"/>
  <c r="H51" i="9"/>
  <c r="M50" i="9"/>
  <c r="H50" i="9"/>
  <c r="M49" i="9"/>
  <c r="H49" i="9"/>
  <c r="M48" i="9"/>
  <c r="H48" i="9"/>
  <c r="M47" i="9"/>
  <c r="H47" i="9"/>
  <c r="M44" i="9"/>
  <c r="H44" i="9"/>
  <c r="M43" i="9"/>
  <c r="H43" i="9"/>
  <c r="M42" i="9"/>
  <c r="H42" i="9"/>
  <c r="M41" i="9"/>
  <c r="H41" i="9"/>
  <c r="M40" i="9"/>
  <c r="H40" i="9"/>
  <c r="M39" i="9"/>
  <c r="H39" i="9"/>
  <c r="M38" i="9"/>
  <c r="H38" i="9"/>
  <c r="M37" i="9"/>
  <c r="H37" i="9"/>
  <c r="M36" i="9"/>
  <c r="H36" i="9"/>
  <c r="M35" i="9"/>
  <c r="H35" i="9"/>
  <c r="M34" i="9"/>
  <c r="H34" i="9"/>
  <c r="M33" i="9"/>
  <c r="H33" i="9"/>
  <c r="M32" i="9"/>
  <c r="H32" i="9"/>
  <c r="M31" i="9"/>
  <c r="H31" i="9"/>
  <c r="M30" i="9"/>
  <c r="H30" i="9"/>
  <c r="M29" i="9"/>
  <c r="H29" i="9"/>
  <c r="M28" i="9"/>
  <c r="H28" i="9"/>
  <c r="M27" i="9"/>
  <c r="H27" i="9"/>
  <c r="M26" i="9"/>
  <c r="H26" i="9"/>
  <c r="M25" i="9"/>
  <c r="H25" i="9"/>
  <c r="M24" i="9"/>
  <c r="H24" i="9"/>
  <c r="M21" i="9"/>
  <c r="H21" i="9"/>
  <c r="M20" i="9"/>
  <c r="H20" i="9"/>
  <c r="M17" i="9"/>
  <c r="H17" i="9"/>
  <c r="M16" i="9"/>
  <c r="H16" i="9"/>
  <c r="M15" i="9"/>
  <c r="H15" i="9"/>
  <c r="M14" i="9"/>
  <c r="H14" i="9"/>
  <c r="M13" i="9"/>
  <c r="H13" i="9"/>
  <c r="M12" i="9"/>
  <c r="H12" i="9"/>
  <c r="M11" i="9"/>
  <c r="H11" i="9"/>
  <c r="M10" i="9"/>
  <c r="H10" i="9"/>
  <c r="F52" i="6" l="1"/>
  <c r="F52" i="4"/>
  <c r="H52" i="4" s="1"/>
  <c r="F51" i="4"/>
  <c r="M52" i="4"/>
  <c r="M51" i="4"/>
  <c r="H51" i="4"/>
  <c r="G37" i="4"/>
  <c r="G20" i="4"/>
  <c r="G21" i="4"/>
  <c r="D114" i="8" l="1"/>
  <c r="D105" i="8"/>
  <c r="D26" i="8"/>
  <c r="D36" i="8"/>
  <c r="D64" i="8" l="1"/>
  <c r="D63" i="8"/>
  <c r="D62" i="8"/>
  <c r="D61" i="8"/>
  <c r="D60" i="8"/>
  <c r="D59" i="8"/>
  <c r="D58" i="8"/>
  <c r="D57" i="8"/>
  <c r="D55" i="8"/>
  <c r="D53" i="8"/>
  <c r="D52" i="8"/>
  <c r="D51" i="8"/>
  <c r="D50" i="8"/>
  <c r="D49" i="8"/>
  <c r="D48" i="8"/>
  <c r="D47" i="8"/>
  <c r="D46" i="8"/>
  <c r="D45" i="8"/>
  <c r="D44" i="8"/>
  <c r="D43" i="8"/>
  <c r="D42" i="8"/>
  <c r="D41" i="8"/>
  <c r="D40" i="8"/>
  <c r="D39" i="8"/>
  <c r="D80" i="8"/>
  <c r="D65" i="8" l="1"/>
  <c r="D92" i="8"/>
  <c r="M87" i="8"/>
  <c r="F87" i="8"/>
  <c r="H87" i="8" s="1"/>
  <c r="M86" i="8"/>
  <c r="H86" i="8"/>
  <c r="M85" i="8"/>
  <c r="H85" i="8"/>
  <c r="M84" i="8"/>
  <c r="H84" i="8"/>
  <c r="M83" i="8"/>
  <c r="H83" i="8"/>
  <c r="M82" i="8"/>
  <c r="H82" i="8"/>
  <c r="M72" i="8"/>
  <c r="F72" i="8"/>
  <c r="H72" i="8" s="1"/>
  <c r="M71" i="8"/>
  <c r="H71" i="8"/>
  <c r="M70" i="8"/>
  <c r="H70" i="8"/>
  <c r="M69" i="8"/>
  <c r="H69" i="8"/>
  <c r="M68" i="8"/>
  <c r="H68" i="8"/>
  <c r="M67" i="8"/>
  <c r="H67" i="8"/>
  <c r="M58" i="8"/>
  <c r="H58" i="8"/>
  <c r="M57" i="8"/>
  <c r="H57" i="8"/>
  <c r="M56" i="8"/>
  <c r="H56" i="8"/>
  <c r="M55" i="8"/>
  <c r="H55" i="8"/>
  <c r="M54" i="8"/>
  <c r="H54" i="8"/>
  <c r="M53" i="8"/>
  <c r="H53" i="8"/>
  <c r="M52" i="8"/>
  <c r="H52" i="8"/>
  <c r="M51" i="8"/>
  <c r="H51" i="8"/>
  <c r="M50" i="8"/>
  <c r="H50" i="8"/>
  <c r="M49" i="8"/>
  <c r="H49" i="8"/>
  <c r="M48" i="8"/>
  <c r="H48" i="8"/>
  <c r="M47" i="8"/>
  <c r="H47" i="8"/>
  <c r="M46" i="8"/>
  <c r="H46" i="8"/>
  <c r="M45" i="8"/>
  <c r="H45" i="8"/>
  <c r="M44" i="8"/>
  <c r="H44" i="8"/>
  <c r="M43" i="8"/>
  <c r="H43" i="8"/>
  <c r="M42" i="8"/>
  <c r="H42" i="8"/>
  <c r="M41" i="8"/>
  <c r="H41" i="8"/>
  <c r="M40" i="8"/>
  <c r="H40" i="8"/>
  <c r="M39" i="8"/>
  <c r="H39" i="8"/>
  <c r="M29" i="8"/>
  <c r="H29" i="8"/>
  <c r="M28" i="8"/>
  <c r="H28" i="8"/>
  <c r="M17" i="8"/>
  <c r="H17" i="8"/>
  <c r="M16" i="8"/>
  <c r="H16" i="8"/>
  <c r="M15" i="8"/>
  <c r="H15" i="8"/>
  <c r="M14" i="8"/>
  <c r="H14" i="8"/>
  <c r="M13" i="8"/>
  <c r="H13" i="8"/>
  <c r="M12" i="8"/>
  <c r="H12" i="8"/>
  <c r="M11" i="8"/>
  <c r="H11" i="8"/>
  <c r="M10" i="8"/>
  <c r="H10" i="8"/>
  <c r="M59" i="7"/>
  <c r="H59" i="7"/>
  <c r="M58" i="7"/>
  <c r="H58" i="7"/>
  <c r="M57" i="7"/>
  <c r="H57" i="7"/>
  <c r="M56" i="7"/>
  <c r="H56" i="7"/>
  <c r="M55" i="7"/>
  <c r="H55" i="7"/>
  <c r="M52" i="7" l="1"/>
  <c r="F52" i="7"/>
  <c r="H52" i="7" s="1"/>
  <c r="M51" i="7"/>
  <c r="H51" i="7"/>
  <c r="M50" i="7"/>
  <c r="H50" i="7"/>
  <c r="M49" i="7"/>
  <c r="H49" i="7"/>
  <c r="M48" i="7"/>
  <c r="H48" i="7"/>
  <c r="M47" i="7"/>
  <c r="H47" i="7"/>
  <c r="M44" i="7"/>
  <c r="H44" i="7"/>
  <c r="M43" i="7"/>
  <c r="H43" i="7"/>
  <c r="M42" i="7"/>
  <c r="H42" i="7"/>
  <c r="M41" i="7"/>
  <c r="H41" i="7"/>
  <c r="M40" i="7"/>
  <c r="H40" i="7"/>
  <c r="M39" i="7"/>
  <c r="H39" i="7"/>
  <c r="M38" i="7"/>
  <c r="H38" i="7"/>
  <c r="M37" i="7"/>
  <c r="H37" i="7"/>
  <c r="M36" i="7"/>
  <c r="H36" i="7"/>
  <c r="M35" i="7"/>
  <c r="H35" i="7"/>
  <c r="M34" i="7"/>
  <c r="H34" i="7"/>
  <c r="M33" i="7"/>
  <c r="H33" i="7"/>
  <c r="M32" i="7"/>
  <c r="H32" i="7"/>
  <c r="M31" i="7"/>
  <c r="H31" i="7"/>
  <c r="M30" i="7"/>
  <c r="H30" i="7"/>
  <c r="M29" i="7"/>
  <c r="H29" i="7"/>
  <c r="M28" i="7"/>
  <c r="H28" i="7"/>
  <c r="M27" i="7"/>
  <c r="H27" i="7"/>
  <c r="M26" i="7"/>
  <c r="H26" i="7"/>
  <c r="M25" i="7"/>
  <c r="H25" i="7"/>
  <c r="M24" i="7"/>
  <c r="H24" i="7"/>
  <c r="M21" i="7"/>
  <c r="H21" i="7"/>
  <c r="M20" i="7"/>
  <c r="H20" i="7"/>
  <c r="M17" i="7"/>
  <c r="H17" i="7"/>
  <c r="M16" i="7"/>
  <c r="H16" i="7"/>
  <c r="M15" i="7"/>
  <c r="H15" i="7"/>
  <c r="M14" i="7"/>
  <c r="H14" i="7"/>
  <c r="M13" i="7"/>
  <c r="H13" i="7"/>
  <c r="M12" i="7"/>
  <c r="H12" i="7"/>
  <c r="M11" i="7"/>
  <c r="H11" i="7"/>
  <c r="M10" i="7"/>
  <c r="H10" i="7"/>
  <c r="M52" i="6"/>
  <c r="H52" i="6"/>
  <c r="M51" i="6"/>
  <c r="H51" i="6"/>
  <c r="M50" i="6"/>
  <c r="H50" i="6"/>
  <c r="M49" i="6"/>
  <c r="H49" i="6"/>
  <c r="M48" i="6"/>
  <c r="H48" i="6"/>
  <c r="M47" i="6"/>
  <c r="H47" i="6"/>
  <c r="M44" i="6"/>
  <c r="H44" i="6"/>
  <c r="M43" i="6"/>
  <c r="H43" i="6"/>
  <c r="M42" i="6"/>
  <c r="H42" i="6"/>
  <c r="M41" i="6"/>
  <c r="H41" i="6"/>
  <c r="M40" i="6"/>
  <c r="H40" i="6"/>
  <c r="M39" i="6"/>
  <c r="H39" i="6"/>
  <c r="M38" i="6"/>
  <c r="H38" i="6"/>
  <c r="M37" i="6"/>
  <c r="H37" i="6"/>
  <c r="M36" i="6"/>
  <c r="H36" i="6"/>
  <c r="M35" i="6"/>
  <c r="H35" i="6"/>
  <c r="M34" i="6"/>
  <c r="H34" i="6"/>
  <c r="M33" i="6"/>
  <c r="H33" i="6"/>
  <c r="M32" i="6"/>
  <c r="H32" i="6"/>
  <c r="M31" i="6"/>
  <c r="H31" i="6"/>
  <c r="M30" i="6"/>
  <c r="H30" i="6"/>
  <c r="M29" i="6"/>
  <c r="H29" i="6"/>
  <c r="M28" i="6"/>
  <c r="H28" i="6"/>
  <c r="M27" i="6"/>
  <c r="H27" i="6"/>
  <c r="M26" i="6"/>
  <c r="H26" i="6"/>
  <c r="M25" i="6"/>
  <c r="H25" i="6"/>
  <c r="M24" i="6"/>
  <c r="H24" i="6"/>
  <c r="M21" i="6"/>
  <c r="H21" i="6"/>
  <c r="M20" i="6"/>
  <c r="H20" i="6"/>
  <c r="M17" i="6"/>
  <c r="H17" i="6"/>
  <c r="M16" i="6"/>
  <c r="H16" i="6"/>
  <c r="M15" i="6"/>
  <c r="H15" i="6"/>
  <c r="M14" i="6"/>
  <c r="H14" i="6"/>
  <c r="M13" i="6"/>
  <c r="H13" i="6"/>
  <c r="M12" i="6"/>
  <c r="H12" i="6"/>
  <c r="M11" i="6"/>
  <c r="H11" i="6"/>
  <c r="M10" i="6"/>
  <c r="H10" i="6"/>
  <c r="M52" i="5"/>
  <c r="H52" i="5"/>
  <c r="M51" i="5"/>
  <c r="H51" i="5"/>
  <c r="M50" i="5"/>
  <c r="H50" i="5"/>
  <c r="M49" i="5"/>
  <c r="H49" i="5"/>
  <c r="M48" i="5"/>
  <c r="H48" i="5"/>
  <c r="M47" i="5"/>
  <c r="H47" i="5"/>
  <c r="M44" i="5"/>
  <c r="H44" i="5"/>
  <c r="M43" i="5"/>
  <c r="H43" i="5"/>
  <c r="M42" i="5"/>
  <c r="H42" i="5"/>
  <c r="M41" i="5"/>
  <c r="H41" i="5"/>
  <c r="M40" i="5"/>
  <c r="H40" i="5"/>
  <c r="M39" i="5"/>
  <c r="H39" i="5"/>
  <c r="M38" i="5"/>
  <c r="H38" i="5"/>
  <c r="M37" i="5"/>
  <c r="H37" i="5"/>
  <c r="M36" i="5"/>
  <c r="H36" i="5"/>
  <c r="M35" i="5"/>
  <c r="H35" i="5"/>
  <c r="M34" i="5"/>
  <c r="H34" i="5"/>
  <c r="M33" i="5"/>
  <c r="H33" i="5"/>
  <c r="M32" i="5"/>
  <c r="H32" i="5"/>
  <c r="M31" i="5"/>
  <c r="H31" i="5"/>
  <c r="M30" i="5"/>
  <c r="H30" i="5"/>
  <c r="M29" i="5"/>
  <c r="H29" i="5"/>
  <c r="M28" i="5"/>
  <c r="H28" i="5"/>
  <c r="M27" i="5"/>
  <c r="H27" i="5"/>
  <c r="M26" i="5"/>
  <c r="H26" i="5"/>
  <c r="M25" i="5"/>
  <c r="H25" i="5"/>
  <c r="M24" i="5"/>
  <c r="H24" i="5"/>
  <c r="M21" i="5"/>
  <c r="H21" i="5"/>
  <c r="M20" i="5"/>
  <c r="H20" i="5"/>
  <c r="M17" i="5"/>
  <c r="H17" i="5"/>
  <c r="M16" i="5"/>
  <c r="H16" i="5"/>
  <c r="M15" i="5"/>
  <c r="H15" i="5"/>
  <c r="M14" i="5"/>
  <c r="H14" i="5"/>
  <c r="M13" i="5"/>
  <c r="H13" i="5"/>
  <c r="M12" i="5"/>
  <c r="H12" i="5"/>
  <c r="M11" i="5"/>
  <c r="H11" i="5"/>
  <c r="M10" i="5"/>
  <c r="H10" i="5"/>
  <c r="M48" i="4"/>
  <c r="F48" i="4"/>
  <c r="H48" i="4" s="1"/>
  <c r="M47" i="4"/>
  <c r="H47" i="4"/>
  <c r="M46" i="4"/>
  <c r="H46" i="4"/>
  <c r="M45" i="4"/>
  <c r="H45" i="4"/>
  <c r="M44" i="4"/>
  <c r="H44" i="4"/>
  <c r="M43" i="4"/>
  <c r="H43" i="4"/>
  <c r="M40" i="4"/>
  <c r="H40" i="4"/>
  <c r="M39" i="4"/>
  <c r="H39" i="4"/>
  <c r="M38" i="4"/>
  <c r="H38" i="4"/>
  <c r="M37" i="4"/>
  <c r="H37" i="4"/>
  <c r="M36" i="4"/>
  <c r="H36" i="4"/>
  <c r="M35" i="4"/>
  <c r="H35" i="4"/>
  <c r="M34" i="4"/>
  <c r="H34" i="4"/>
  <c r="M33" i="4"/>
  <c r="H33" i="4"/>
  <c r="M32" i="4"/>
  <c r="H32" i="4"/>
  <c r="M31" i="4"/>
  <c r="H31" i="4"/>
  <c r="M30" i="4"/>
  <c r="H30" i="4"/>
  <c r="M29" i="4"/>
  <c r="H29" i="4"/>
  <c r="M28" i="4"/>
  <c r="H28" i="4"/>
  <c r="M27" i="4"/>
  <c r="H27" i="4"/>
  <c r="M26" i="4"/>
  <c r="H26" i="4"/>
  <c r="M25" i="4"/>
  <c r="H25" i="4"/>
  <c r="M24" i="4"/>
  <c r="H24" i="4"/>
  <c r="M23" i="4"/>
  <c r="H23" i="4"/>
  <c r="M22" i="4"/>
  <c r="H22" i="4"/>
  <c r="M21" i="4"/>
  <c r="H21" i="4"/>
  <c r="M20" i="4"/>
  <c r="H20" i="4"/>
  <c r="M17" i="4"/>
  <c r="H17" i="4"/>
  <c r="M16" i="4"/>
  <c r="H16" i="4"/>
  <c r="M13" i="4"/>
  <c r="H13" i="4"/>
  <c r="M12" i="4"/>
  <c r="H12" i="4"/>
  <c r="M11" i="4"/>
  <c r="H11" i="4"/>
  <c r="M10" i="4"/>
  <c r="H10" i="4"/>
  <c r="M48" i="1" l="1"/>
  <c r="M49" i="1"/>
  <c r="M50" i="1"/>
  <c r="M51" i="1"/>
  <c r="M52" i="1"/>
  <c r="M47" i="1"/>
  <c r="H48" i="1"/>
  <c r="H49" i="1"/>
  <c r="H50" i="1"/>
  <c r="H51" i="1"/>
  <c r="M25" i="1"/>
  <c r="M26" i="1"/>
  <c r="M27" i="1"/>
  <c r="M28" i="1"/>
  <c r="M29" i="1"/>
  <c r="M30" i="1"/>
  <c r="M31" i="1"/>
  <c r="M32" i="1"/>
  <c r="M33" i="1"/>
  <c r="M34" i="1"/>
  <c r="M35" i="1"/>
  <c r="M36" i="1"/>
  <c r="M37" i="1"/>
  <c r="M38" i="1"/>
  <c r="M39" i="1"/>
  <c r="M40" i="1"/>
  <c r="M41" i="1"/>
  <c r="M42" i="1"/>
  <c r="M43" i="1"/>
  <c r="M44" i="1"/>
  <c r="M24" i="1"/>
  <c r="H47" i="1"/>
  <c r="F52" i="1"/>
  <c r="H52" i="1" s="1"/>
  <c r="H25" i="1"/>
  <c r="H26" i="1"/>
  <c r="H27" i="1"/>
  <c r="H28" i="1"/>
  <c r="H29" i="1"/>
  <c r="H30" i="1"/>
  <c r="H31" i="1"/>
  <c r="H32" i="1"/>
  <c r="H33" i="1"/>
  <c r="H34" i="1"/>
  <c r="H35" i="1"/>
  <c r="H36" i="1"/>
  <c r="H37" i="1"/>
  <c r="H38" i="1"/>
  <c r="H39" i="1"/>
  <c r="H40" i="1"/>
  <c r="H41" i="1"/>
  <c r="H42" i="1"/>
  <c r="H43" i="1"/>
  <c r="H44" i="1"/>
  <c r="H24" i="1"/>
  <c r="M21" i="1"/>
  <c r="M20" i="1"/>
  <c r="H21" i="1"/>
  <c r="H20" i="1"/>
  <c r="M11" i="1"/>
  <c r="M12" i="1"/>
  <c r="M13" i="1"/>
  <c r="M14" i="1"/>
  <c r="M15" i="1"/>
  <c r="M16" i="1"/>
  <c r="M17" i="1"/>
  <c r="M10" i="1"/>
  <c r="H11" i="1"/>
  <c r="H12" i="1"/>
  <c r="H13" i="1"/>
  <c r="H14" i="1"/>
  <c r="H15" i="1"/>
  <c r="H16" i="1"/>
  <c r="H17" i="1"/>
  <c r="H10" i="1"/>
</calcChain>
</file>

<file path=xl/sharedStrings.xml><?xml version="1.0" encoding="utf-8"?>
<sst xmlns="http://schemas.openxmlformats.org/spreadsheetml/2006/main" count="13494" uniqueCount="702">
  <si>
    <t>LAPORAN SERANGAN OPT PENTING TANAMAN PERKEBUNAN TAHUN 2018</t>
  </si>
  <si>
    <t>Kabupaten</t>
  </si>
  <si>
    <t>Periode</t>
  </si>
  <si>
    <t>NO.</t>
  </si>
  <si>
    <t>JENIS KOMODITI/</t>
  </si>
  <si>
    <t>KECAMATAN</t>
  </si>
  <si>
    <t>LUAS KOMODITI (Ha)</t>
  </si>
  <si>
    <t>JENIS OPT</t>
  </si>
  <si>
    <t>LUAS SERANGAN</t>
  </si>
  <si>
    <t>Ringan</t>
  </si>
  <si>
    <t>Berat</t>
  </si>
  <si>
    <t>Jumlah</t>
  </si>
  <si>
    <t>LUAS PENGENDALIAN (Ha)</t>
  </si>
  <si>
    <t>APBD I</t>
  </si>
  <si>
    <t>APBD II</t>
  </si>
  <si>
    <t>Masyarakat</t>
  </si>
  <si>
    <t>APBN</t>
  </si>
  <si>
    <t>CARA PENGENDALIAN</t>
  </si>
  <si>
    <t>KETERANGAN</t>
  </si>
  <si>
    <t>KELAPA</t>
  </si>
  <si>
    <t>CENGKEH</t>
  </si>
  <si>
    <t>Kec. Majenang</t>
  </si>
  <si>
    <t>Kec. Dayeuhluhur</t>
  </si>
  <si>
    <t>KOPI</t>
  </si>
  <si>
    <t>Kec. Nusawungu</t>
  </si>
  <si>
    <t>Kec. Binangun</t>
  </si>
  <si>
    <t>Kec. Adipala</t>
  </si>
  <si>
    <t>Kec. Kesugihan</t>
  </si>
  <si>
    <t>Kec. Jeruklegi</t>
  </si>
  <si>
    <t>Kec. Kawunganten</t>
  </si>
  <si>
    <t>Kec. Gandrungmangu</t>
  </si>
  <si>
    <t>Kec. Bantarsari</t>
  </si>
  <si>
    <t>Kec. Sidareja</t>
  </si>
  <si>
    <t>Kec. Cipari</t>
  </si>
  <si>
    <t>Kec. Patimuan</t>
  </si>
  <si>
    <t>Kec. Kedungreja</t>
  </si>
  <si>
    <t>Penggerek batang cengkeh</t>
  </si>
  <si>
    <t>Cacar Daun Cengkeh (CDC)</t>
  </si>
  <si>
    <t>Bercak daun (Antraxnosa)</t>
  </si>
  <si>
    <t>BPKC (Bakteri pembuluh kayu cengkeh)</t>
  </si>
  <si>
    <t>Penggerek buah kopi (pbko)</t>
  </si>
  <si>
    <t xml:space="preserve">Jamur upas </t>
  </si>
  <si>
    <t>Kec. Wanareja</t>
  </si>
  <si>
    <t>Kec. Cimanggu</t>
  </si>
  <si>
    <t>Kec. Karangpucung</t>
  </si>
  <si>
    <t>Bajing</t>
  </si>
  <si>
    <t>KARET</t>
  </si>
  <si>
    <t xml:space="preserve">SPLHT </t>
  </si>
  <si>
    <t>pemahatan pada lubang penggerek</t>
  </si>
  <si>
    <t>penyemprotan agensia hayati</t>
  </si>
  <si>
    <t>pembersihan lahan</t>
  </si>
  <si>
    <t>-</t>
  </si>
  <si>
    <t>Oryctes rhinoceros</t>
  </si>
  <si>
    <t>Jamur upas</t>
  </si>
  <si>
    <t>Bantuan pestisida dan agensia hayati</t>
  </si>
  <si>
    <t>Kec. Kroya</t>
  </si>
  <si>
    <t>Kec. Kampunglaut</t>
  </si>
  <si>
    <t>a</t>
  </si>
  <si>
    <t>b</t>
  </si>
  <si>
    <t>c</t>
  </si>
  <si>
    <t>d</t>
  </si>
  <si>
    <t>e</t>
  </si>
  <si>
    <t>f</t>
  </si>
  <si>
    <t>g</t>
  </si>
  <si>
    <t>h</t>
  </si>
  <si>
    <t>i</t>
  </si>
  <si>
    <t>j</t>
  </si>
  <si>
    <t>k</t>
  </si>
  <si>
    <t>l</t>
  </si>
  <si>
    <t>m</t>
  </si>
  <si>
    <t>n</t>
  </si>
  <si>
    <t>o</t>
  </si>
  <si>
    <t>p</t>
  </si>
  <si>
    <t>q</t>
  </si>
  <si>
    <t>r</t>
  </si>
  <si>
    <t>s</t>
  </si>
  <si>
    <t>Jamur akar putih dan</t>
  </si>
  <si>
    <t>CILACAP</t>
  </si>
  <si>
    <t>:</t>
  </si>
  <si>
    <t>MEI 2018</t>
  </si>
  <si>
    <t>Mengetahui,</t>
  </si>
  <si>
    <t>a.n. KEPALA DINAS PANGAN DAN PERKEBUNAN</t>
  </si>
  <si>
    <t>KABUPATEN CILACAP</t>
  </si>
  <si>
    <t>Kepala Bidang Perkebunan</t>
  </si>
  <si>
    <t>AGUS PRIHARSO, S.Hut, MP</t>
  </si>
  <si>
    <t>Petugas POPT</t>
  </si>
  <si>
    <t>1.</t>
  </si>
  <si>
    <t>AMEL HARIMAWAN, SP</t>
  </si>
  <si>
    <t>2.</t>
  </si>
  <si>
    <t>SUTIKNO, SP</t>
  </si>
  <si>
    <t>.....................................................</t>
  </si>
  <si>
    <t>NIP.  19740418 200312 1 004</t>
  </si>
  <si>
    <t>NIP. 19760227 200604 1 009</t>
  </si>
  <si>
    <t>Pemberian fungisida Dithane</t>
  </si>
  <si>
    <t>]</t>
  </si>
  <si>
    <t>SEPTEMBER  2018</t>
  </si>
  <si>
    <t>LADA</t>
  </si>
  <si>
    <t>Kec.Kesugihan</t>
  </si>
  <si>
    <t>Kec.Cimanggu</t>
  </si>
  <si>
    <t>Kec.Karangpucung</t>
  </si>
  <si>
    <t>Kec.Patimuan</t>
  </si>
  <si>
    <t>Gandrungmangu</t>
  </si>
  <si>
    <t>Kec.Kawunganten</t>
  </si>
  <si>
    <t>Kec.Maos</t>
  </si>
  <si>
    <t>t</t>
  </si>
  <si>
    <t>Kec. Sampang</t>
  </si>
  <si>
    <t>u</t>
  </si>
  <si>
    <t>Kec.  Kesugihan</t>
  </si>
  <si>
    <t>v</t>
  </si>
  <si>
    <t>w</t>
  </si>
  <si>
    <t>Kec. Cilacap Utara</t>
  </si>
  <si>
    <t>x</t>
  </si>
  <si>
    <t>Kec. Cilacap Tengah</t>
  </si>
  <si>
    <t>y</t>
  </si>
  <si>
    <t>Kec. Cilacap Selatan</t>
  </si>
  <si>
    <t>Kec.Jeruklegi</t>
  </si>
  <si>
    <t>KAKAO</t>
  </si>
  <si>
    <t>PALA</t>
  </si>
  <si>
    <t>Kec Majenang</t>
  </si>
  <si>
    <t>JUNI  2018</t>
  </si>
  <si>
    <t>JULI  2018</t>
  </si>
  <si>
    <t>AGUSTUS  2018</t>
  </si>
  <si>
    <t>Bantuan pestisida</t>
  </si>
  <si>
    <t>Bantuan pestisida dan Agensia</t>
  </si>
  <si>
    <t>Penghisap Buah Lada</t>
  </si>
  <si>
    <t>dan penyakit kuning</t>
  </si>
  <si>
    <t xml:space="preserve">Pembersihan Lahan dari </t>
  </si>
  <si>
    <t>sarang Larva</t>
  </si>
  <si>
    <t>OKTOBER   2018</t>
  </si>
  <si>
    <t>Penggerek Batang Lopobaris piperis</t>
  </si>
  <si>
    <r>
      <t xml:space="preserve">Penggerek Batang </t>
    </r>
    <r>
      <rPr>
        <i/>
        <sz val="11"/>
        <color theme="1"/>
        <rFont val="Arial Narrow"/>
        <family val="2"/>
      </rPr>
      <t>Lopobaris piperis</t>
    </r>
  </si>
  <si>
    <r>
      <t xml:space="preserve">Penyakit Kuning </t>
    </r>
    <r>
      <rPr>
        <i/>
        <sz val="11"/>
        <color theme="1"/>
        <rFont val="Arial Narrow"/>
        <family val="2"/>
      </rPr>
      <t>Radopholus similis</t>
    </r>
  </si>
  <si>
    <t>Penaburan Agensia Hayati</t>
  </si>
  <si>
    <t>Penyemprotan Insektisida</t>
  </si>
  <si>
    <t xml:space="preserve">Jamur akar putih </t>
  </si>
  <si>
    <t>Penyakit Kuning Radopholus similis</t>
  </si>
  <si>
    <t>Penyemprotan Insektida</t>
  </si>
  <si>
    <t>Penyemprotan Fungisida</t>
  </si>
  <si>
    <t>Pembersihan Lahan</t>
  </si>
  <si>
    <t>Pemberian Agensia hayati</t>
  </si>
  <si>
    <t>SLPHT</t>
  </si>
  <si>
    <t xml:space="preserve">Penyemprotan Insektisida </t>
  </si>
  <si>
    <t xml:space="preserve">pada tanaman yang masih </t>
  </si>
  <si>
    <t>kecil</t>
  </si>
  <si>
    <t>NOPEMBER   2018</t>
  </si>
  <si>
    <t>Bantuan Pestisida</t>
  </si>
  <si>
    <t>Fungisida, dan Agensia Hayati</t>
  </si>
  <si>
    <t>DESEMBER   2018</t>
  </si>
  <si>
    <t>1. Dilakukan pengendalian secara</t>
  </si>
  <si>
    <t xml:space="preserve">   swadaya oleh masyarakat dengan</t>
  </si>
  <si>
    <t xml:space="preserve">   cara mekanis, sanitasi lingkungan,</t>
  </si>
  <si>
    <t xml:space="preserve">   dan kimiawi dengan bantuan obat</t>
  </si>
  <si>
    <t>2. Masih ditemukannya musuh alami</t>
  </si>
  <si>
    <t xml:space="preserve">   dan predator dilapangan sehingga</t>
  </si>
  <si>
    <t xml:space="preserve">   dimungkinkan pengendalian secara</t>
  </si>
  <si>
    <t xml:space="preserve">   alami sudah terjadi dilokasi </t>
  </si>
  <si>
    <t xml:space="preserve">   terserang</t>
  </si>
  <si>
    <t>3. Masih diperlukan pengendalian</t>
  </si>
  <si>
    <t xml:space="preserve">   secara kimiawi apabila terjadi</t>
  </si>
  <si>
    <t xml:space="preserve">   serangan berat dengan sistem</t>
  </si>
  <si>
    <t xml:space="preserve">   injeksi dengan menggunakan </t>
  </si>
  <si>
    <t xml:space="preserve">   insektisida sistemik </t>
  </si>
  <si>
    <t xml:space="preserve">   dari  APBD II</t>
  </si>
  <si>
    <r>
      <t xml:space="preserve">Penggerek Batang </t>
    </r>
    <r>
      <rPr>
        <i/>
        <sz val="10"/>
        <color theme="1"/>
        <rFont val="Arial Narrow"/>
        <family val="2"/>
      </rPr>
      <t>Lopobaris piperis</t>
    </r>
  </si>
  <si>
    <r>
      <t xml:space="preserve">Penyakit Kuning </t>
    </r>
    <r>
      <rPr>
        <i/>
        <sz val="10"/>
        <color theme="1"/>
        <rFont val="Arial Narrow"/>
        <family val="2"/>
      </rPr>
      <t>Radopholus similis</t>
    </r>
  </si>
  <si>
    <t>Mengurangi kelembaban kebun dengan memangkas pohon pelindung</t>
  </si>
  <si>
    <t>Membersihkan sumber infeksi yg ada di sekitar</t>
  </si>
  <si>
    <t>Sanitasi meliputi :</t>
  </si>
  <si>
    <t>Penggunaan  Beaviora basiana</t>
  </si>
  <si>
    <t>NIP. 19720801 199803 1 005</t>
  </si>
  <si>
    <t>LUAS SERANGAN (Ha)</t>
  </si>
  <si>
    <t>JANUARI   2019</t>
  </si>
  <si>
    <t>Cilacap,  31 Januari 2019</t>
  </si>
  <si>
    <t>PEBRUARI   2019</t>
  </si>
  <si>
    <t>Cilacap,  28 Pebruari  2019</t>
  </si>
  <si>
    <t>SYIHABUR RIDLO ES, SP, MM</t>
  </si>
  <si>
    <t>MARET  2019</t>
  </si>
  <si>
    <t>LAPORAN SERANGAN OPT PENTING TANAMAN PERKEBUNAN TAHUN 2019</t>
  </si>
  <si>
    <t>c.</t>
  </si>
  <si>
    <t>KOPI ROBUSTA</t>
  </si>
  <si>
    <t>Kec. Maos</t>
  </si>
  <si>
    <r>
      <t>Peggerek Buah Kakao (</t>
    </r>
    <r>
      <rPr>
        <i/>
        <sz val="10"/>
        <color theme="1"/>
        <rFont val="Arial Narrow"/>
        <family val="2"/>
      </rPr>
      <t>Conopomorpha cramerella</t>
    </r>
    <r>
      <rPr>
        <sz val="10"/>
        <color theme="1"/>
        <rFont val="Arial Narrow"/>
        <family val="2"/>
      </rPr>
      <t>)</t>
    </r>
  </si>
  <si>
    <r>
      <t>Kepik Penghisap Buah (</t>
    </r>
    <r>
      <rPr>
        <i/>
        <sz val="10"/>
        <color theme="1"/>
        <rFont val="Arial Narrow"/>
        <family val="2"/>
      </rPr>
      <t>Helopeltis</t>
    </r>
    <r>
      <rPr>
        <sz val="10"/>
        <color theme="1"/>
        <rFont val="Arial Narrow"/>
        <family val="2"/>
      </rPr>
      <t xml:space="preserve"> sp)</t>
    </r>
  </si>
  <si>
    <r>
      <rPr>
        <i/>
        <sz val="10"/>
        <color theme="1"/>
        <rFont val="Arial Narrow"/>
        <family val="2"/>
      </rPr>
      <t>Phythopthora palmivora</t>
    </r>
    <r>
      <rPr>
        <sz val="10"/>
        <color theme="1"/>
        <rFont val="Arial Narrow"/>
        <family val="2"/>
      </rPr>
      <t xml:space="preserve"> (Penyakit Kanker  Batang Kakao dan Busuk  Buah Kakao)</t>
    </r>
  </si>
  <si>
    <r>
      <t>Jamur akar putih (</t>
    </r>
    <r>
      <rPr>
        <i/>
        <sz val="10"/>
        <color theme="1"/>
        <rFont val="Arial Narrow"/>
        <family val="2"/>
      </rPr>
      <t>Rigidhoporus lignosus</t>
    </r>
    <r>
      <rPr>
        <sz val="10"/>
        <color theme="1"/>
        <rFont val="Arial Narrow"/>
        <family val="2"/>
      </rPr>
      <t>)</t>
    </r>
  </si>
  <si>
    <r>
      <t xml:space="preserve">Jamur upas </t>
    </r>
    <r>
      <rPr>
        <i/>
        <sz val="10"/>
        <color theme="1"/>
        <rFont val="Arial Narrow"/>
        <family val="2"/>
      </rPr>
      <t>(Corticium salmiocolor</t>
    </r>
    <r>
      <rPr>
        <sz val="10"/>
        <color theme="1"/>
        <rFont val="Arial Narrow"/>
        <family val="2"/>
      </rPr>
      <t>)</t>
    </r>
  </si>
  <si>
    <r>
      <t>Gugur Daun Karet</t>
    </r>
    <r>
      <rPr>
        <i/>
        <sz val="10"/>
        <color theme="1"/>
        <rFont val="Arial Narrow"/>
        <family val="2"/>
      </rPr>
      <t xml:space="preserve"> (Corynespora cassicola)</t>
    </r>
  </si>
  <si>
    <r>
      <t>Penyakit Busuk Pangkal Lada (</t>
    </r>
    <r>
      <rPr>
        <i/>
        <sz val="10"/>
        <color theme="1"/>
        <rFont val="Arial Narrow"/>
        <family val="2"/>
      </rPr>
      <t>Phythoptora capsici)</t>
    </r>
  </si>
  <si>
    <t xml:space="preserve">Kutu Putih </t>
  </si>
  <si>
    <t>Penyemprotan pestisida organik untuk mengendalikan kutu putih yg meyerang buah muda / masih kecil sehingga tidak menjalar ke buah yang lain</t>
  </si>
  <si>
    <t>NIP. 19720617  199803 1 010</t>
  </si>
  <si>
    <t>Penyemprotan Insektisida Bantuan APBD Kabupaten</t>
  </si>
  <si>
    <t>KET</t>
  </si>
  <si>
    <t>JANUARI  2018</t>
  </si>
  <si>
    <t>PEBRUARI 2018</t>
  </si>
  <si>
    <t>MARET  2018</t>
  </si>
  <si>
    <t>APRIL  2018</t>
  </si>
  <si>
    <r>
      <t>Karat Daun Kopi (</t>
    </r>
    <r>
      <rPr>
        <i/>
        <sz val="11"/>
        <color theme="1"/>
        <rFont val="Arial Narrow"/>
        <family val="2"/>
      </rPr>
      <t>Hemilelia vastatrix</t>
    </r>
    <r>
      <rPr>
        <sz val="11"/>
        <color theme="1"/>
        <rFont val="Arial Narrow"/>
        <family val="2"/>
      </rPr>
      <t>)</t>
    </r>
  </si>
  <si>
    <r>
      <t xml:space="preserve">Penggerek buah kopi (pbko) </t>
    </r>
    <r>
      <rPr>
        <i/>
        <sz val="11"/>
        <color theme="1"/>
        <rFont val="Arial Narrow"/>
        <family val="2"/>
      </rPr>
      <t>Hypothenemus hampei</t>
    </r>
  </si>
  <si>
    <t>Pembersiha lahan</t>
  </si>
  <si>
    <t>Pemberian Agesia Hayati</t>
  </si>
  <si>
    <t>66.95</t>
  </si>
  <si>
    <t>Kec. Kesugiha</t>
  </si>
  <si>
    <t>Busuk Buah Basah dan Busuk Buah Kering</t>
  </si>
  <si>
    <t>Pembersihan Lahan dan Penyemprotan Fungisida</t>
  </si>
  <si>
    <t>Cilacap,     29  Maret  2019</t>
  </si>
  <si>
    <t>APRIL  2019</t>
  </si>
  <si>
    <t xml:space="preserve">Cilacap,     30 April 2019 </t>
  </si>
  <si>
    <t>MEI   2019</t>
  </si>
  <si>
    <t xml:space="preserve">Cilacap,     31 Mei  2019 </t>
  </si>
  <si>
    <t>Penyemprotan  Fungisida Insektisida bantuan dari APBD II</t>
  </si>
  <si>
    <t xml:space="preserve">Pembersihan Lahan </t>
  </si>
  <si>
    <t>Pembersihan Lahan dan penyemprotan Insektisida</t>
  </si>
  <si>
    <t>Pembersihan Lahan danPemberian agensia hayati</t>
  </si>
  <si>
    <t>JUNI    2019</t>
  </si>
  <si>
    <t>Pembersiha Lahan</t>
  </si>
  <si>
    <t xml:space="preserve">Cilacap,        Juni 2019 </t>
  </si>
  <si>
    <t>JULI    2019</t>
  </si>
  <si>
    <t xml:space="preserve">Cilacap,        Juli 2019 </t>
  </si>
  <si>
    <t>Penyemprotan  Fungisida,  Insektisida bantuan dari APBD II</t>
  </si>
  <si>
    <t>Keriting Daun</t>
  </si>
  <si>
    <t>Busuk Buah Basah dan Busuk Buah Kering,</t>
  </si>
  <si>
    <t>Bantuan APBD Kabupaten Cilacap</t>
  </si>
  <si>
    <t>Ulat arthona</t>
  </si>
  <si>
    <t xml:space="preserve">2. Penyemprotan dengan insektisida </t>
  </si>
  <si>
    <t xml:space="preserve">   Bantuan dari APBD Kabupaten</t>
  </si>
  <si>
    <t xml:space="preserve">   cara mekanis, sanitasi lingkungan</t>
  </si>
  <si>
    <t>3. Masih ditemukannya musuh alami</t>
  </si>
  <si>
    <t>Pembersihan Lahan dan Pemberian agensia hayati</t>
  </si>
  <si>
    <t xml:space="preserve">Pemberian fungisida </t>
  </si>
  <si>
    <r>
      <t>Gugur Daun Cendawan (</t>
    </r>
    <r>
      <rPr>
        <i/>
        <sz val="10"/>
        <color theme="1"/>
        <rFont val="Arial Narrow"/>
        <family val="2"/>
      </rPr>
      <t>Pestalotiopsis sp</t>
    </r>
    <r>
      <rPr>
        <sz val="10"/>
        <color theme="1"/>
        <rFont val="Arial Narrow"/>
        <family val="2"/>
      </rPr>
      <t>)</t>
    </r>
  </si>
  <si>
    <t>AGUSTUS    2019</t>
  </si>
  <si>
    <t xml:space="preserve">Cilacap,        Agustus  2019 </t>
  </si>
  <si>
    <r>
      <t>Gugur Daun  (</t>
    </r>
    <r>
      <rPr>
        <i/>
        <sz val="10"/>
        <color theme="1"/>
        <rFont val="Arial Narrow"/>
        <family val="2"/>
      </rPr>
      <t>Iodium heveae sp</t>
    </r>
    <r>
      <rPr>
        <sz val="10"/>
        <color theme="1"/>
        <rFont val="Arial Narrow"/>
        <family val="2"/>
      </rPr>
      <t>)</t>
    </r>
  </si>
  <si>
    <r>
      <t xml:space="preserve">Kumbang Sagu </t>
    </r>
    <r>
      <rPr>
        <i/>
        <sz val="10"/>
        <color theme="1"/>
        <rFont val="Arial Narrow"/>
        <family val="2"/>
      </rPr>
      <t>Rhynchoporus ferruginous</t>
    </r>
  </si>
  <si>
    <r>
      <t>Kumbang Bibit (</t>
    </r>
    <r>
      <rPr>
        <i/>
        <sz val="10"/>
        <color theme="1"/>
        <rFont val="Arial Narrow"/>
        <family val="2"/>
      </rPr>
      <t>Plesispa reichei</t>
    </r>
    <r>
      <rPr>
        <sz val="10"/>
        <color theme="1"/>
        <rFont val="Arial Narrow"/>
        <family val="2"/>
      </rPr>
      <t>)</t>
    </r>
  </si>
  <si>
    <r>
      <t>Gugur Daun  (</t>
    </r>
    <r>
      <rPr>
        <i/>
        <sz val="10"/>
        <color theme="1"/>
        <rFont val="Arial Narrow"/>
        <family val="2"/>
      </rPr>
      <t>Colletotricum gloeosporioides</t>
    </r>
    <r>
      <rPr>
        <sz val="10"/>
        <color theme="1"/>
        <rFont val="Arial Narrow"/>
        <family val="2"/>
      </rPr>
      <t>)</t>
    </r>
  </si>
  <si>
    <t>SEPTEMBER   2019</t>
  </si>
  <si>
    <t xml:space="preserve">Cilacap,       September  2019 </t>
  </si>
  <si>
    <t>Penyemprotan pestisida organik untuk mengendalikan kutu putih yg meyerang buah muda agartidak menjalar ke buah yang lain</t>
  </si>
  <si>
    <t>OKTOBER    2019</t>
  </si>
  <si>
    <t xml:space="preserve">Cilacap,       Oktober  2019 </t>
  </si>
  <si>
    <t>1. Pembersihan Lahan</t>
  </si>
  <si>
    <t xml:space="preserve">Pemasangan perangkap dengan </t>
  </si>
  <si>
    <t>Feromon bantuan dari Provinsi</t>
  </si>
  <si>
    <t>NOPEMBER    2019</t>
  </si>
  <si>
    <t xml:space="preserve">Cilacap,       Nopember   2019 </t>
  </si>
  <si>
    <t xml:space="preserve">Cilacap,       Desember  2019 </t>
  </si>
  <si>
    <t>DESEMBER    2019</t>
  </si>
  <si>
    <t>56%*D18</t>
  </si>
  <si>
    <t>Penggerek batang kopi</t>
  </si>
  <si>
    <r>
      <t>Penggerek batang kopi (</t>
    </r>
    <r>
      <rPr>
        <i/>
        <sz val="10"/>
        <color theme="1"/>
        <rFont val="Arial Narrow"/>
        <family val="2"/>
      </rPr>
      <t>Lepidopter cossidae</t>
    </r>
    <r>
      <rPr>
        <sz val="10"/>
        <color theme="1"/>
        <rFont val="Arial Narrow"/>
        <family val="2"/>
      </rPr>
      <t>)</t>
    </r>
  </si>
  <si>
    <t>JANUARI 2020</t>
  </si>
  <si>
    <t>Cilacap,       Januari 2020</t>
  </si>
  <si>
    <t>3.</t>
  </si>
  <si>
    <t>SIGIT SETIYADI, SP</t>
  </si>
  <si>
    <t>NIP. -</t>
  </si>
  <si>
    <t>Swadaya</t>
  </si>
  <si>
    <t>Taksasi Kerugian (Rp)</t>
  </si>
  <si>
    <t>LUAS AREAL KOMODITI (Ha)</t>
  </si>
  <si>
    <t xml:space="preserve">LAPORAN SERANGAN OPT PENTING TANAMAN PERKEBUNAN </t>
  </si>
  <si>
    <t>DI JAWA  TENGAH TAHUN 2020</t>
  </si>
  <si>
    <t>1.Pembersihan Lahan</t>
  </si>
  <si>
    <t>2.. Sanitasi Lingkungan</t>
  </si>
  <si>
    <t>3. Penyemprotan Insektisida</t>
  </si>
  <si>
    <t>4.</t>
  </si>
  <si>
    <t xml:space="preserve">Masih ditemukannya </t>
  </si>
  <si>
    <t>musuh alami sehingga</t>
  </si>
  <si>
    <t xml:space="preserve">dimungkinkan pengendalian </t>
  </si>
  <si>
    <t xml:space="preserve">secara alami sudah </t>
  </si>
  <si>
    <t>terjadi di lapangan</t>
  </si>
  <si>
    <t xml:space="preserve">Penyemprotan pestisida </t>
  </si>
  <si>
    <t>organik untuk mengendalikan</t>
  </si>
  <si>
    <t>kutu putih</t>
  </si>
  <si>
    <t>Penyemprotan insektisida</t>
  </si>
  <si>
    <t>Pembersihan Lahan dan Pemberian agensia hayati dan penyemprotan insektisida</t>
  </si>
  <si>
    <t>PEBRUARI 2020</t>
  </si>
  <si>
    <t>Cilacap,       Pebruari  2020</t>
  </si>
  <si>
    <t>Pemberian agensia hayati</t>
  </si>
  <si>
    <t>Pembersihan Lahan ,  Pemberian agensia hayati dan penyemprotan insektisida</t>
  </si>
  <si>
    <t>Cilacap,       Maret  2020</t>
  </si>
  <si>
    <t>MARET 2020</t>
  </si>
  <si>
    <t>MEI 2020</t>
  </si>
  <si>
    <t>Cilacap,       Mei  2020</t>
  </si>
  <si>
    <t>APRIL  2020</t>
  </si>
  <si>
    <t>Cilacap,       April 2020</t>
  </si>
  <si>
    <t>Cilacap,       Juni 2020</t>
  </si>
  <si>
    <t>JUNI  2020</t>
  </si>
  <si>
    <t xml:space="preserve">Cengkeh </t>
  </si>
  <si>
    <t>Jarak Tanam</t>
  </si>
  <si>
    <t>7 X 7</t>
  </si>
  <si>
    <t>Populasi per ha</t>
  </si>
  <si>
    <t>Batas Minimal; usaha</t>
  </si>
  <si>
    <t>Kopi</t>
  </si>
  <si>
    <t>2,5 X 2,5</t>
  </si>
  <si>
    <t>Popuasi per ha</t>
  </si>
  <si>
    <t>BMU</t>
  </si>
  <si>
    <t>Kelapa</t>
  </si>
  <si>
    <t>9 x 9</t>
  </si>
  <si>
    <t>Batas Minimal Usaha</t>
  </si>
  <si>
    <t>Karet</t>
  </si>
  <si>
    <t>6 x 3</t>
  </si>
  <si>
    <t>Populasi Per ha</t>
  </si>
  <si>
    <t>2 x 2,5</t>
  </si>
  <si>
    <t>populasi per ha</t>
  </si>
  <si>
    <t>2000-2500</t>
  </si>
  <si>
    <t>15 pohon (rumpun)</t>
  </si>
  <si>
    <t>Pala</t>
  </si>
  <si>
    <t>Jarak tanam</t>
  </si>
  <si>
    <t>Populas</t>
  </si>
  <si>
    <t>Kakao</t>
  </si>
  <si>
    <t>3 x 3</t>
  </si>
  <si>
    <t>produktifitas</t>
  </si>
  <si>
    <t>Luas serangan</t>
  </si>
  <si>
    <t>480-800</t>
  </si>
  <si>
    <t>Taksasi kerugian Cengkeh</t>
  </si>
  <si>
    <t>X</t>
  </si>
  <si>
    <t>harga pasar</t>
  </si>
  <si>
    <t>kg</t>
  </si>
  <si>
    <t>kg kopra</t>
  </si>
  <si>
    <t>Sheet</t>
  </si>
  <si>
    <t>karet kering</t>
  </si>
  <si>
    <t>Lump</t>
  </si>
  <si>
    <t xml:space="preserve">800-1200 </t>
  </si>
  <si>
    <t>kg/ha</t>
  </si>
  <si>
    <t>JUMLAH CENGKEH</t>
  </si>
  <si>
    <t>JUMLAH KOPI</t>
  </si>
  <si>
    <t>Jarak Tanama</t>
  </si>
  <si>
    <t>3 x3</t>
  </si>
  <si>
    <t>popiulasi</t>
  </si>
  <si>
    <t>1000-1350</t>
  </si>
  <si>
    <t>Masa Panen Cengkeh</t>
  </si>
  <si>
    <t>Mei, Juni. Agustus</t>
  </si>
  <si>
    <t>Panen</t>
  </si>
  <si>
    <t>Juni. Juli , Agustus</t>
  </si>
  <si>
    <t xml:space="preserve">Panen </t>
  </si>
  <si>
    <t>Sepanjang Tahun</t>
  </si>
  <si>
    <t>Sepanjang</t>
  </si>
  <si>
    <t>Juli, Agustus</t>
  </si>
  <si>
    <t>Lada</t>
  </si>
  <si>
    <t>Juli. Agustus</t>
  </si>
  <si>
    <t>Mei, Juni. Juli , Agustus</t>
  </si>
  <si>
    <t>Luas serangan berat X produktifitas X  % kehilangan hasil</t>
  </si>
  <si>
    <t>Kehilangan Produksi</t>
  </si>
  <si>
    <t>Kerugian hasil</t>
  </si>
  <si>
    <t>Kehilangan produksi  X harga rata-rata produk</t>
  </si>
  <si>
    <t>Cilacap,       Juli 2020</t>
  </si>
  <si>
    <t>JUMLAH KELAPA</t>
  </si>
  <si>
    <t>JUMLAH KARET</t>
  </si>
  <si>
    <t>JUMLAH LADA</t>
  </si>
  <si>
    <t>JUMLAH PALA</t>
  </si>
  <si>
    <t>JUMLAH KAKAO</t>
  </si>
  <si>
    <t>JUMLAH  KAKAO</t>
  </si>
  <si>
    <t>Lampiran :</t>
  </si>
  <si>
    <t xml:space="preserve"> Keputusan Kepala Dinas </t>
  </si>
  <si>
    <t xml:space="preserve"> Pertanian dan Perkebunan</t>
  </si>
  <si>
    <t xml:space="preserve"> Provinsi Jawa Tengah</t>
  </si>
  <si>
    <t xml:space="preserve"> Nomor       : </t>
  </si>
  <si>
    <t xml:space="preserve"> Tanggal     :  2  Maret 2020</t>
  </si>
  <si>
    <t xml:space="preserve">DAFTAR PETUGAS PENGAMAT ORGANISME PENGGANGGU TUMBUHAN (OPT) TANAMAN PERKEBUNAN </t>
  </si>
  <si>
    <t xml:space="preserve">KEGIATAN FASILITASI TEKNIS DUKUNGAN PERLINDUNGAN PERKEBUNAN   </t>
  </si>
  <si>
    <t xml:space="preserve">APBN DANA DEKONSENTRASI DIREKTORAT JENDERAL PERKEBUNAN (DK 05) SATUAN KERJA </t>
  </si>
  <si>
    <t>DINAS PERTANIAN DAN PERKEBUNAN PROVINSI JAWA TENGAH TAHUN 2020</t>
  </si>
  <si>
    <t>NO</t>
  </si>
  <si>
    <t>NAMA / NIP</t>
  </si>
  <si>
    <t>JABATAN DALAM DINAS</t>
  </si>
  <si>
    <t>HONORARIUM</t>
  </si>
  <si>
    <t>(Rp)</t>
  </si>
  <si>
    <t xml:space="preserve"> </t>
  </si>
  <si>
    <t>NUNUNG WIDIYANTO, SP</t>
  </si>
  <si>
    <t>Petugas POPT, Dinas Pertanian dan Ketahanan</t>
  </si>
  <si>
    <t>NIP. 19791123 201101 1 002</t>
  </si>
  <si>
    <t>Pangan Kab. Brebes</t>
  </si>
  <si>
    <t>BOWO LAKSONO</t>
  </si>
  <si>
    <t>PLP-TKP Bidang Hortikultura dan Perkebunan</t>
  </si>
  <si>
    <t>Dinas Pertanian dan Ketahanan Pangan</t>
  </si>
  <si>
    <t>Kab. Brebes</t>
  </si>
  <si>
    <t>DWI SEPRIYANTO, S.TP</t>
  </si>
  <si>
    <t>PLP-TKP3, Bidang Perkebunan Dinas Pertanian</t>
  </si>
  <si>
    <t>dan Ketahanan Pangan Kab. Tegal</t>
  </si>
  <si>
    <t>IMAM BUKHORI</t>
  </si>
  <si>
    <t>ARI SETIO BOWO, S.Hut.</t>
  </si>
  <si>
    <t xml:space="preserve">PLP-TKP3 Bidang Perkebunan, Dinas Pertanian </t>
  </si>
  <si>
    <t>Kab. Pemalang</t>
  </si>
  <si>
    <t>WAHYU DAYA PAMBUDI, SP</t>
  </si>
  <si>
    <t>TIYAS NASTITI HANDAYANI, SP</t>
  </si>
  <si>
    <t>Staf Seksi Perbenihan Perlindungan Perkebunan</t>
  </si>
  <si>
    <t>NIP. 19780609 200312 2 003</t>
  </si>
  <si>
    <t>Dinas Ketahanan Pangan dan Pertanian</t>
  </si>
  <si>
    <t>Kab. Pekalongan</t>
  </si>
  <si>
    <t>JITO, SP</t>
  </si>
  <si>
    <t xml:space="preserve">TKP Perkebunan Bidang Perkebunan </t>
  </si>
  <si>
    <t xml:space="preserve">NIP. </t>
  </si>
  <si>
    <t>SUMIYATI, SP</t>
  </si>
  <si>
    <t>Kasie Produksi Perkebunan, Dinas Pangan</t>
  </si>
  <si>
    <t>NIP. 19650617 198903 2 009</t>
  </si>
  <si>
    <t>dan Pertanian Kab. Batang</t>
  </si>
  <si>
    <t>M. MAHJUN</t>
  </si>
  <si>
    <t>Kasie Pasca Panen dan Agribisnis Perkebunan</t>
  </si>
  <si>
    <t>NIP. 19670730 198901 1 001</t>
  </si>
  <si>
    <t>Dinas Pangan dan Pertanian Kab. Batang</t>
  </si>
  <si>
    <t>NADIA ALFIA SAFITRI</t>
  </si>
  <si>
    <t>PLP-TKP Dinas Pertanian Kota Semarang</t>
  </si>
  <si>
    <t>HARYONO, STP.</t>
  </si>
  <si>
    <t>Kepala Seksi OPT, Sarpras dan Pengembangan</t>
  </si>
  <si>
    <t>NIP. 19650509 198609 1 001</t>
  </si>
  <si>
    <t>Usaha Perkebunan, Dinas Pertanian, Perikanan</t>
  </si>
  <si>
    <t>dan Pangan Kabupaten Semarang.</t>
  </si>
  <si>
    <t>MUHAMAD DIMYATI</t>
  </si>
  <si>
    <t>PLP-TKP3, Bidang Perkebunan, Dinas Pertanian,</t>
  </si>
  <si>
    <t>Perikanan dan Pangan Kab. Semarang.</t>
  </si>
  <si>
    <t>MASYKUROH</t>
  </si>
  <si>
    <t>BUDI SULISTIYANTO, SP.</t>
  </si>
  <si>
    <t xml:space="preserve">Staf Seksi Usaha Pengolahan Hasil dan </t>
  </si>
  <si>
    <t>NIP. 19730525 201406 1 001</t>
  </si>
  <si>
    <t>Pemasaran Dinas Pertanian dan Pangan</t>
  </si>
  <si>
    <t>Kab. Kendal.</t>
  </si>
  <si>
    <t>SERLY OCTAVIANI, SP</t>
  </si>
  <si>
    <t>PLP-TKP3, Bidang Perkebunan,</t>
  </si>
  <si>
    <t>Dinas Pertanian dan Pangan Kab. Kendal</t>
  </si>
  <si>
    <t>MOH. SOLIKIN</t>
  </si>
  <si>
    <t xml:space="preserve">PLP-TKP3 Bidand Perkebunan, Dinas Pertanian </t>
  </si>
  <si>
    <t>dan Pangan Kab. Demak.</t>
  </si>
  <si>
    <t>DARGO</t>
  </si>
  <si>
    <t>Staf Dinas Pertanian Kab. Grobogan</t>
  </si>
  <si>
    <t>NIP.19630102 198702 1 002</t>
  </si>
  <si>
    <t>EDY SUHARYANTO</t>
  </si>
  <si>
    <t>PLP-TKP3, Dinas Pertanian Kab. Grobogan</t>
  </si>
  <si>
    <t>NIP.-</t>
  </si>
  <si>
    <t>YAYAK SAMHUDI</t>
  </si>
  <si>
    <t xml:space="preserve">Petugas POPT, Dinas Pertanian </t>
  </si>
  <si>
    <t>NIP. 19660617 199010 1 001</t>
  </si>
  <si>
    <t>Kota Salatiga</t>
  </si>
  <si>
    <t>SUJIYANTO, SP</t>
  </si>
  <si>
    <t>POPT Ahli Muda, Laboratorium PHP Kab. Pati</t>
  </si>
  <si>
    <t>NIP. 19630906 198702 1 001</t>
  </si>
  <si>
    <t>KADAR, SP.</t>
  </si>
  <si>
    <t>POPT Penyelia , Laboratorium PHP Kab. Pati</t>
  </si>
  <si>
    <t>NIP. 19640810 198702 1 002</t>
  </si>
  <si>
    <t>SISWANTO</t>
  </si>
  <si>
    <t>THL POPT, Laboratorium PHP Kab. Pati</t>
  </si>
  <si>
    <t>SUTAMAN</t>
  </si>
  <si>
    <t>POPT, Laboratorium PHP Wilayah Pati</t>
  </si>
  <si>
    <t>NIP. 19640821 200212 1 002</t>
  </si>
  <si>
    <t>Dinas Pertanian dan Pangan Kab. Kudus</t>
  </si>
  <si>
    <t>LUKMAN NUR RAHMAN</t>
  </si>
  <si>
    <t>PLP / TKP Dinas Pertanian dan Pangan</t>
  </si>
  <si>
    <t>NIP.</t>
  </si>
  <si>
    <t>Kab. Kudus</t>
  </si>
  <si>
    <t>RADITYA DWI P, SP.,MT</t>
  </si>
  <si>
    <t xml:space="preserve">Kasie Produksi dan Usaha Perkebunan, Dinas </t>
  </si>
  <si>
    <t>NIP. 19731225199903 1 005</t>
  </si>
  <si>
    <t xml:space="preserve">Ketahanan Pangan dan Pertanian Kabupaten </t>
  </si>
  <si>
    <t>Jepara</t>
  </si>
  <si>
    <t>SUTIYONO, A.MD</t>
  </si>
  <si>
    <t>Staf,  Dinas Ketahanan Pangan dan Pertanian</t>
  </si>
  <si>
    <t>NIP. 19630415 198710 1 002</t>
  </si>
  <si>
    <t>Kabupaten Jepara</t>
  </si>
  <si>
    <t>ANANG EKO WIBOWO, SP.</t>
  </si>
  <si>
    <t>TKP3,  Dinas Ketahanan Pangan dan Pertanian</t>
  </si>
  <si>
    <t>ARI PUDYO W, S.Pt</t>
  </si>
  <si>
    <t>Staf Bidang Perkebunan, Dinas Pertanian</t>
  </si>
  <si>
    <t>NIP. 19760422 200904 1 001</t>
  </si>
  <si>
    <t>dan Pangan Kab. Rembang</t>
  </si>
  <si>
    <t>NANIK SUKISMI, S.ST</t>
  </si>
  <si>
    <t>NIP. 19810321 201001 2 024</t>
  </si>
  <si>
    <t>AGUS DWI SUTRIMO</t>
  </si>
  <si>
    <t>PLP-TKP Bidang Perkebunan, Dinas Pertanian</t>
  </si>
  <si>
    <t>IRA NIRWANA, STP.</t>
  </si>
  <si>
    <t xml:space="preserve">Kasi Produksi dan Perlindungan Tanaman </t>
  </si>
  <si>
    <t>NIP. 19830413 201001 2 024</t>
  </si>
  <si>
    <t xml:space="preserve">Perkebunan Dinas Pertanian dan Ketahanan </t>
  </si>
  <si>
    <t>Pangan Kab. Blora</t>
  </si>
  <si>
    <t>WAHYU HERMAWAN, SP</t>
  </si>
  <si>
    <t>TKP3, Kab. Blora.</t>
  </si>
  <si>
    <t>PRATIWI, SP</t>
  </si>
  <si>
    <t xml:space="preserve">Staf Teknis Dinas Pertanian dan Ketahanan </t>
  </si>
  <si>
    <t>NIP. 19650927 199203 2 008</t>
  </si>
  <si>
    <t>Pangan Kab. Banyumas.</t>
  </si>
  <si>
    <t>DIAH NURAENI YULIATI, SP.</t>
  </si>
  <si>
    <t xml:space="preserve">TKP3-PLP Perkebunan Dinas Pertanian dan </t>
  </si>
  <si>
    <t>Ketahanan Pangan Kab. Banyumas.</t>
  </si>
  <si>
    <t>AMEL HARIMAWAN, SP.</t>
  </si>
  <si>
    <t>Kasi Perbenihan &amp; Perlindungan</t>
  </si>
  <si>
    <t>NIP. 19740418 200312 1 004</t>
  </si>
  <si>
    <t xml:space="preserve">DISPABUN Kab. Cilacap </t>
  </si>
  <si>
    <t>SUTIKNO, SP.</t>
  </si>
  <si>
    <t>Staf Bidang Perkebunan</t>
  </si>
  <si>
    <t>Staf Bidang Perkebunan, DISPABUN</t>
  </si>
  <si>
    <t xml:space="preserve">Kab. Cilacap </t>
  </si>
  <si>
    <t>WASIS PM, S.Pt</t>
  </si>
  <si>
    <t>Staf Seksi Pengolahan Hasil Perkebunan dan</t>
  </si>
  <si>
    <t>NIP. 196601 200701 1 013</t>
  </si>
  <si>
    <t>Hortikultura Bidang Perkebunan dan Hortikultura,</t>
  </si>
  <si>
    <t>Dinpertan Kab. Purbalingga</t>
  </si>
  <si>
    <t>BAMBANG IRAWAN</t>
  </si>
  <si>
    <t>Penyuluh THLT BPP Desa Bumisari, Kec. Bojong-</t>
  </si>
  <si>
    <t>sari, Kab. Purbalingga</t>
  </si>
  <si>
    <t>ASRI UTAMI, SP</t>
  </si>
  <si>
    <t>Penyuluh PNS Desa Ponjen, Kec. Karanganyar</t>
  </si>
  <si>
    <t>NIP. 19821107 201706 2 001</t>
  </si>
  <si>
    <t>Kab. Purbalingga</t>
  </si>
  <si>
    <t>RETNO SULISTIYOWATI, SP</t>
  </si>
  <si>
    <t>TKP3, Dinas Pertanian Perikanan dan Ketahanan</t>
  </si>
  <si>
    <t>Pangan Kab. Banjarnegara</t>
  </si>
  <si>
    <t>LINTAR RAFSANANDI</t>
  </si>
  <si>
    <t>PLP-TKP3, Dinas Pertanian Perikanan dan Ketahanan</t>
  </si>
  <si>
    <t>IRWAN PRASETYO, A.Md</t>
  </si>
  <si>
    <t>DIAN RAKHMAWATI H, SP.</t>
  </si>
  <si>
    <t>Pengamat POPT Pertama, Dinas Pertanian</t>
  </si>
  <si>
    <t>NIP. 19830524 200903 2 007</t>
  </si>
  <si>
    <t>dan Pangan Kab. Magelang</t>
  </si>
  <si>
    <t>ATIK NUR FARIDA</t>
  </si>
  <si>
    <t xml:space="preserve">PLP-TKP3, Dinas Pertanian dan Pangan </t>
  </si>
  <si>
    <t>Kab. Magelang</t>
  </si>
  <si>
    <t>NIKEN LESTARI, SP.</t>
  </si>
  <si>
    <t>Kasi Produksi dan Perlindungan Tanaman</t>
  </si>
  <si>
    <t>NIP. 19711006 199903 2 002</t>
  </si>
  <si>
    <t xml:space="preserve">Perkebunan DINTANPANGAN </t>
  </si>
  <si>
    <t>Kab. Temanggung</t>
  </si>
  <si>
    <t>MEGANTORO RESTU D. A.Md</t>
  </si>
  <si>
    <t>Penyuluh Pertanian Pelaksana, DINTANPANGAN</t>
  </si>
  <si>
    <t>NIP. 19841221 201706 1 001</t>
  </si>
  <si>
    <t>DWI KISWANTI, SP</t>
  </si>
  <si>
    <t>TKP3, Bidang Perkebunan, DINTANPANGAN</t>
  </si>
  <si>
    <t>JUMAIRI, SP.MP.</t>
  </si>
  <si>
    <t>Kasi Perbenihan dan Perlintan Dinas Pangan</t>
  </si>
  <si>
    <t>NIP. 19661220 198903 1 008</t>
  </si>
  <si>
    <t>Pertanian dan Perikanan Kab. Wonosobo</t>
  </si>
  <si>
    <t>CHOIRUL CHAMDANI, SP</t>
  </si>
  <si>
    <t>Staf Tekhnis Dinas Pangan Pertanian dan Perikanan</t>
  </si>
  <si>
    <t>NIP. 19711231 200801 1 010</t>
  </si>
  <si>
    <t xml:space="preserve"> Kab. Wonosobo</t>
  </si>
  <si>
    <t>MUH. MUSLIH, SP, MM</t>
  </si>
  <si>
    <t>Kasie Perlindungan dan Bina Usaha Tanaman</t>
  </si>
  <si>
    <t>NIP. 19670627 199703 1 003</t>
  </si>
  <si>
    <t xml:space="preserve">Perkebunan  Dinas Pertanian, Pangan,Kelautan </t>
  </si>
  <si>
    <t>dan Perikanan Kabupaten Purworejo</t>
  </si>
  <si>
    <t>RUTH NL SIMANJUNTAK</t>
  </si>
  <si>
    <t>POPT Dinas Pertanian, Pangan,Kelautan dan</t>
  </si>
  <si>
    <t>NIP. 19800110 201101 2 010</t>
  </si>
  <si>
    <t>Perikanan Kabupaten Purworejo</t>
  </si>
  <si>
    <t xml:space="preserve">ELY WAHYUDI </t>
  </si>
  <si>
    <t>Pembantu Lapang Petugas Tenaga Kontrak</t>
  </si>
  <si>
    <t>Pendamping Pembangunan Perkebunan</t>
  </si>
  <si>
    <t>( PLPTKP3 )</t>
  </si>
  <si>
    <t>SEPTI SULISTYANING U, S.P</t>
  </si>
  <si>
    <t>TKP3 Bidang Hortikultura dan Perkebunan</t>
  </si>
  <si>
    <t>Dinas Pertanian dan Pangan Kab. Kebumen</t>
  </si>
  <si>
    <t>GANANG ROMADHON</t>
  </si>
  <si>
    <t>PLP-TKP3 Bidang Hortikultura dan Perkebunan</t>
  </si>
  <si>
    <t>ARINI SARASMIYARTI, SP</t>
  </si>
  <si>
    <t>TKP, Dinas Pertanian Kab. Sukoharjo</t>
  </si>
  <si>
    <t>PAIMAN, SP</t>
  </si>
  <si>
    <t>POPOT, Dinas Pertanian Kab. Sragen</t>
  </si>
  <si>
    <t>NIP. 19631113 198702 1 003</t>
  </si>
  <si>
    <t>MANTA, SP</t>
  </si>
  <si>
    <t>NIP. 19620909 198703 1 010</t>
  </si>
  <si>
    <t>SAHID JOKO SEMBODO,S.Hut,MM</t>
  </si>
  <si>
    <t xml:space="preserve">Kasie Perlintan Perkebunan Dinas Pertanian </t>
  </si>
  <si>
    <t>NIP. 19661012 199803 1 004</t>
  </si>
  <si>
    <t>dan Pangan Kab. Karanganyar</t>
  </si>
  <si>
    <t>SITI MASROKAH, SP.</t>
  </si>
  <si>
    <t xml:space="preserve">Staf Bidang Perkebunan Dinas Pertanian </t>
  </si>
  <si>
    <t>NIP. 19771103 200003 2 002</t>
  </si>
  <si>
    <t>SAFAAT ASRORI</t>
  </si>
  <si>
    <t xml:space="preserve">PLP-TKP3 Bidang Perkebunan Dinas Pertanian </t>
  </si>
  <si>
    <t>NUR WAHYUDI</t>
  </si>
  <si>
    <t>Staf Sie Perkebunan Bidang Produksi</t>
  </si>
  <si>
    <t>NIP. 19731130 200906 1 001</t>
  </si>
  <si>
    <t>Dinas Pertanian dan Pangan Kab. Wonogiri</t>
  </si>
  <si>
    <t>AULIA P. CHOIRUNNISA, SP.</t>
  </si>
  <si>
    <t>PLP-TKP3, Bidang Produksi</t>
  </si>
  <si>
    <t>SARI LARASWATI, SP</t>
  </si>
  <si>
    <t>SUDARMAJI, SP</t>
  </si>
  <si>
    <t>Staf Bidang Perkebunan dan Penyuluhan</t>
  </si>
  <si>
    <t>NIP.19640417 198303 1 006</t>
  </si>
  <si>
    <t>DPKPP Kab. Klaten</t>
  </si>
  <si>
    <t>CAHYA PUTRA ADI UTAMA</t>
  </si>
  <si>
    <t>MUHAMMAD BUSRONI, MM</t>
  </si>
  <si>
    <t>Kepala Seksi Perlindungan, Pengelolaan dan</t>
  </si>
  <si>
    <t>NIP. 19750530 200501 1 008</t>
  </si>
  <si>
    <t>Pemasaran, Bidang Perkebunan Dinas Pertanian</t>
  </si>
  <si>
    <t>Kab. Boyolali</t>
  </si>
  <si>
    <t>WURI PRABANDARI,S.TP</t>
  </si>
  <si>
    <t>TKP3 Bidang Perkebunan, Dinas Pertanian</t>
  </si>
  <si>
    <t>AFRIK FEBIANTANTI,SP</t>
  </si>
  <si>
    <t xml:space="preserve">KEPALA DINAS </t>
  </si>
  <si>
    <t>PERTANIAN DAN PERKEBUNAN</t>
  </si>
  <si>
    <t>PROVINSI JAWA TENGAH</t>
  </si>
  <si>
    <t>SELAKU KUASA PENGGUNA ANGGARAN</t>
  </si>
  <si>
    <t>SURYO BANENDRO</t>
  </si>
  <si>
    <t>Sepanjang bulan</t>
  </si>
  <si>
    <t>Juli Agustus</t>
  </si>
  <si>
    <t xml:space="preserve">Oktober , Nopember </t>
  </si>
  <si>
    <t>Tiap Bulan ada</t>
  </si>
  <si>
    <t xml:space="preserve">Kakao Mulai Panen </t>
  </si>
  <si>
    <t>Umur</t>
  </si>
  <si>
    <t>2,5- 3 tahun</t>
  </si>
  <si>
    <t>Prod optimal</t>
  </si>
  <si>
    <t>7-11 tahun</t>
  </si>
  <si>
    <t>Puncak Panen</t>
  </si>
  <si>
    <t>Juni, Juli</t>
  </si>
  <si>
    <t>: CILACAP</t>
  </si>
  <si>
    <t>: JULI 2020</t>
  </si>
  <si>
    <t>: AGUSTUS  2020</t>
  </si>
  <si>
    <t>Cilacap,       Agustus  2020</t>
  </si>
  <si>
    <t>Penggerek Buah Kakao</t>
  </si>
  <si>
    <t>TEMBAKAU</t>
  </si>
  <si>
    <t>Kec.Sampang</t>
  </si>
  <si>
    <t>JUMLAH TEMBAKAU</t>
  </si>
  <si>
    <r>
      <t>Ulat Daun (</t>
    </r>
    <r>
      <rPr>
        <i/>
        <sz val="10"/>
        <color theme="1"/>
        <rFont val="Arial Narrow"/>
        <family val="2"/>
      </rPr>
      <t>Spodoptera sp</t>
    </r>
    <r>
      <rPr>
        <sz val="10"/>
        <color theme="1"/>
        <rFont val="Arial Narrow"/>
        <family val="2"/>
      </rPr>
      <t>)</t>
    </r>
  </si>
  <si>
    <r>
      <t>Lanas (</t>
    </r>
    <r>
      <rPr>
        <i/>
        <sz val="10"/>
        <color theme="1"/>
        <rFont val="Arial Narrow"/>
        <family val="2"/>
      </rPr>
      <t>Phytophtora sp</t>
    </r>
    <r>
      <rPr>
        <sz val="10"/>
        <color theme="1"/>
        <rFont val="Arial Narrow"/>
        <family val="2"/>
      </rPr>
      <t>)</t>
    </r>
  </si>
  <si>
    <t>membuang tanaman yang</t>
  </si>
  <si>
    <t>terserang</t>
  </si>
  <si>
    <t>Kehilangan produksi =</t>
  </si>
  <si>
    <t>Luas serangan berat OPT</t>
  </si>
  <si>
    <t xml:space="preserve">Produktifitas </t>
  </si>
  <si>
    <t>% Kehilangan hasil</t>
  </si>
  <si>
    <t>Kerugian Hasil =</t>
  </si>
  <si>
    <t xml:space="preserve">Kehilangan produksi </t>
  </si>
  <si>
    <t>harga  (perton)</t>
  </si>
  <si>
    <t>: SEPTEMBER   2020</t>
  </si>
  <si>
    <t>Cilacap,       September   2020</t>
  </si>
  <si>
    <r>
      <t>Kumbang Janur (</t>
    </r>
    <r>
      <rPr>
        <i/>
        <sz val="10"/>
        <color theme="1"/>
        <rFont val="Arial Narrow"/>
        <family val="2"/>
      </rPr>
      <t>Brontispa longisima</t>
    </r>
    <r>
      <rPr>
        <sz val="10"/>
        <color theme="1"/>
        <rFont val="Arial Narrow"/>
        <family val="2"/>
      </rPr>
      <t>)</t>
    </r>
  </si>
  <si>
    <r>
      <t>Kutu Putih (</t>
    </r>
    <r>
      <rPr>
        <i/>
        <sz val="10"/>
        <color theme="1"/>
        <rFont val="Arial Narrow"/>
        <family val="2"/>
      </rPr>
      <t>Pseodococcus lilacinus</t>
    </r>
    <r>
      <rPr>
        <sz val="10"/>
        <color theme="1"/>
        <rFont val="Arial Narrow"/>
        <family val="2"/>
      </rPr>
      <t>)</t>
    </r>
  </si>
  <si>
    <t>Fungisida, danTrichoderma</t>
  </si>
  <si>
    <t>: OKTOBER    2020</t>
  </si>
  <si>
    <t>Cilacap,         Oktober   2020</t>
  </si>
  <si>
    <r>
      <t>Karat daun kopi (</t>
    </r>
    <r>
      <rPr>
        <i/>
        <sz val="10"/>
        <color theme="1"/>
        <rFont val="Arial Narrow"/>
        <family val="2"/>
      </rPr>
      <t>Hemilia vastatrix)</t>
    </r>
  </si>
  <si>
    <r>
      <t>Nemathoda Luka akar (</t>
    </r>
    <r>
      <rPr>
        <i/>
        <sz val="10"/>
        <color theme="1"/>
        <rFont val="Arial Narrow"/>
        <family val="2"/>
      </rPr>
      <t>Pratylencus cofeae</t>
    </r>
    <r>
      <rPr>
        <sz val="10"/>
        <color theme="1"/>
        <rFont val="Arial Narrow"/>
        <family val="2"/>
      </rPr>
      <t>)</t>
    </r>
  </si>
  <si>
    <r>
      <t>Penggerek cabang lada (</t>
    </r>
    <r>
      <rPr>
        <i/>
        <sz val="10"/>
        <color theme="1"/>
        <rFont val="Arial Narrow"/>
        <family val="2"/>
      </rPr>
      <t>Lopobaris piperis</t>
    </r>
    <r>
      <rPr>
        <sz val="10"/>
        <color theme="1"/>
        <rFont val="Arial Narrow"/>
        <family val="2"/>
      </rPr>
      <t>)</t>
    </r>
  </si>
  <si>
    <t>penyemprotan APH</t>
  </si>
  <si>
    <t>Pembersihan Lahan ,  Pemberian agensia hayati dan penyemprotan Fungisida</t>
  </si>
  <si>
    <t>Cilacap,        Nopember  2020</t>
  </si>
  <si>
    <t>:  NOPEMBER     2020</t>
  </si>
  <si>
    <t>agustus</t>
  </si>
  <si>
    <t xml:space="preserve">september </t>
  </si>
  <si>
    <t>Oktober</t>
  </si>
  <si>
    <t>Cilacap,        Desember   2020</t>
  </si>
  <si>
    <t>: DESEMBER      2020</t>
  </si>
  <si>
    <t>panen sepanjang  tahun</t>
  </si>
  <si>
    <t>Dilakukan pengendalian secara swadaya oleh masyarakat dengan cara mekanis , sanitasi lingkungan dan kimiawi dengan bantuan obat dari APBD I dab APBD II</t>
  </si>
  <si>
    <t>Telah dilakuakn pengendalian dengan APH dimungkinkan Pengendalian secara biologi telah dilakukan di lokasi terserang, masih ditemukan adanya musuh alami  dan predator sehingga dimungkunkan pengendalian secara alami sudah terjadi di lokasi terserang</t>
  </si>
  <si>
    <t>Masih dipoerlukan pengendalian secara kimiawi apabila terjadi serangan berat  dengan sistem injeksi dengan menggunakan insektisida sistemik</t>
  </si>
  <si>
    <t>Jamur akar putih (Rigidhoporus lignosus)</t>
  </si>
  <si>
    <t>DI JAWA  TENGAH TAHUN 2021</t>
  </si>
  <si>
    <t>: JANUARI    2021</t>
  </si>
  <si>
    <t>Cilacap,        Januari 2021</t>
  </si>
  <si>
    <r>
      <t>Penggerek batang cengkeh (</t>
    </r>
    <r>
      <rPr>
        <i/>
        <sz val="10"/>
        <color theme="1"/>
        <rFont val="Arial Narrow"/>
        <family val="2"/>
      </rPr>
      <t>Nothopeus hemipterus</t>
    </r>
    <r>
      <rPr>
        <sz val="10"/>
        <color theme="1"/>
        <rFont val="Arial Narrow"/>
        <family val="2"/>
      </rPr>
      <t>)</t>
    </r>
  </si>
  <si>
    <t>5.</t>
  </si>
  <si>
    <t>NIP.  19720617 199803 1 010</t>
  </si>
  <si>
    <t>ELSA PUTRI MUTIARA, SP</t>
  </si>
  <si>
    <t>NIK. 3301226703980000</t>
  </si>
  <si>
    <t>NIK. 3301092704830000</t>
  </si>
  <si>
    <t>Kec.  Wanareja</t>
  </si>
  <si>
    <t>Cilacap,        Pebruari  2021</t>
  </si>
  <si>
    <t>: PEBRUARI    2021</t>
  </si>
  <si>
    <t>NIP. 19980327 202012 2 012</t>
  </si>
  <si>
    <t>Pebruari</t>
  </si>
  <si>
    <t>Puncak panen</t>
  </si>
  <si>
    <t>Maret</t>
  </si>
  <si>
    <t>: MARET   2021</t>
  </si>
  <si>
    <t>Cilacap,        Maret 2021</t>
  </si>
  <si>
    <t>: APRIL  2021</t>
  </si>
  <si>
    <t>Cilacap,         April  2021</t>
  </si>
  <si>
    <t>Cilacap,        Mei  2021</t>
  </si>
  <si>
    <t>: MEI   2021</t>
  </si>
  <si>
    <t>: JUNI   2021</t>
  </si>
  <si>
    <r>
      <t xml:space="preserve">Nemathoda </t>
    </r>
    <r>
      <rPr>
        <i/>
        <sz val="10"/>
        <color theme="1"/>
        <rFont val="Arial Narrow"/>
        <family val="2"/>
      </rPr>
      <t>Pratylenchus sp</t>
    </r>
  </si>
  <si>
    <r>
      <t xml:space="preserve"> Kutu (</t>
    </r>
    <r>
      <rPr>
        <i/>
        <shadow/>
        <sz val="10"/>
        <color theme="1"/>
        <rFont val="Arial Narrow"/>
        <family val="2"/>
      </rPr>
      <t>Coccus viridis</t>
    </r>
    <r>
      <rPr>
        <shadow/>
        <sz val="10"/>
        <color theme="1"/>
        <rFont val="Arial Narrow"/>
        <family val="2"/>
      </rPr>
      <t>)</t>
    </r>
  </si>
  <si>
    <r>
      <t>Penghisap buah (</t>
    </r>
    <r>
      <rPr>
        <i/>
        <shadow/>
        <sz val="11"/>
        <color theme="1"/>
        <rFont val="Arial Narrow"/>
        <family val="2"/>
      </rPr>
      <t xml:space="preserve">Helopeltis </t>
    </r>
    <r>
      <rPr>
        <shadow/>
        <sz val="11"/>
        <color theme="1"/>
        <rFont val="Arial Narrow"/>
        <family val="2"/>
      </rPr>
      <t>spp.)</t>
    </r>
  </si>
  <si>
    <t>Cilacap,       Juni   2021</t>
  </si>
  <si>
    <t>membuang tanaman yang terserang</t>
  </si>
  <si>
    <t>Pembersihan Lahan ,  Pemberian agensia hayati dan pemasangan Alat perangkap kumbang kopi  (Koptan )</t>
  </si>
  <si>
    <t>: JULI   2021</t>
  </si>
  <si>
    <t>Cilacap,       Juli   2021</t>
  </si>
  <si>
    <t>Dilakukan pengendalian secara swadaya oleh masyarakat dengan cara mekanis , sanitasi lingkungan dan kimiawi dengan bantuan obat APBD II</t>
  </si>
  <si>
    <t>Penggunaan  APH</t>
  </si>
  <si>
    <t>eradikasi  tanaman yang terserang</t>
  </si>
  <si>
    <t>: AGUSTUS   2021</t>
  </si>
  <si>
    <t>Cilacap,       Agustus    2021</t>
  </si>
  <si>
    <t>:SEPTEMBER  2021</t>
  </si>
  <si>
    <t>Cilacap,       September    2021</t>
  </si>
  <si>
    <t>: OKTOBER   2021</t>
  </si>
  <si>
    <t>Cilacap,          Oktober   2021</t>
  </si>
  <si>
    <t>Kutu Putih</t>
  </si>
  <si>
    <t>Oidium, SP</t>
  </si>
  <si>
    <t>Colletotrichum, sp</t>
  </si>
  <si>
    <r>
      <t>Gugur Daun Karet (</t>
    </r>
    <r>
      <rPr>
        <i/>
        <sz val="11"/>
        <color theme="1"/>
        <rFont val="Arial Narrow"/>
        <family val="2"/>
      </rPr>
      <t>Pestalotiopsis sp</t>
    </r>
    <r>
      <rPr>
        <sz val="11"/>
        <color theme="1"/>
        <rFont val="Arial Narrow"/>
        <family val="2"/>
      </rPr>
      <t>)</t>
    </r>
  </si>
  <si>
    <t>Hawar Daun Amerika selatan</t>
  </si>
  <si>
    <t>Kanker Garis</t>
  </si>
  <si>
    <t>Batang</t>
  </si>
  <si>
    <t>daun</t>
  </si>
  <si>
    <t>Mouldy Rot</t>
  </si>
  <si>
    <t>Kering Alur Sadap</t>
  </si>
  <si>
    <t>(akar)</t>
  </si>
  <si>
    <t>Corynespora cassiicola</t>
  </si>
  <si>
    <t>: Desember 2021</t>
  </si>
  <si>
    <t>Cilacap,       Desember 2021</t>
  </si>
  <si>
    <t>: Nopember 2021</t>
  </si>
  <si>
    <t>Cilacap,        Nopember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</si>
</sst>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_);_(* \(#,##0.00\);_(* &quot;-&quot;_);_(@_)"/>
    <numFmt numFmtId="165" formatCode="_(* #,##0.0_);_(* \(#,##0.0\);_(* &quot;-&quot;_);_(@_)"/>
    <numFmt numFmtId="166" formatCode="_(* #,##0_);_(* \(#,##0\);_(* &quot;-&quot;??_);_(@_)"/>
  </numFmts>
  <fonts count="23" x14ac:knownFonts="1">
    <font>
      <sz val="11"/>
      <color theme="1"/>
      <name val="Calibri"/>
      <family val="2"/>
      <charset val="1"/>
      <scheme val="minor"/>
    </font>
    <font>
      <sz val="11"/>
      <color theme="1"/>
      <name val="Calibri"/>
      <family val="2"/>
      <charset val="1"/>
      <scheme val="minor"/>
    </font>
    <font>
      <sz val="11"/>
      <color theme="1"/>
      <name val="Arial Narrow"/>
      <family val="2"/>
    </font>
    <font>
      <b/>
      <sz val="11"/>
      <color theme="1"/>
      <name val="Arial Narrow"/>
      <family val="2"/>
    </font>
    <font>
      <i/>
      <sz val="11"/>
      <color theme="1"/>
      <name val="Arial Narrow"/>
      <family val="2"/>
    </font>
    <font>
      <b/>
      <u/>
      <sz val="11"/>
      <color theme="1"/>
      <name val="Arial Narrow"/>
      <family val="2"/>
    </font>
    <font>
      <sz val="10"/>
      <color theme="1"/>
      <name val="Arial Narrow"/>
      <family val="2"/>
    </font>
    <font>
      <sz val="10"/>
      <color theme="1"/>
      <name val="Arial"/>
      <family val="2"/>
    </font>
    <font>
      <i/>
      <sz val="10"/>
      <color theme="1"/>
      <name val="Arial Narrow"/>
      <family val="2"/>
    </font>
    <font>
      <sz val="9"/>
      <color theme="1"/>
      <name val="Arial Narrow"/>
      <family val="2"/>
    </font>
    <font>
      <sz val="12"/>
      <name val="Arial"/>
      <family val="2"/>
    </font>
    <font>
      <b/>
      <sz val="12"/>
      <name val="Arial"/>
      <family val="2"/>
    </font>
    <font>
      <sz val="12"/>
      <color theme="1"/>
      <name val="Arial"/>
      <family val="2"/>
    </font>
    <font>
      <sz val="10"/>
      <name val="Arial"/>
      <family val="2"/>
    </font>
    <font>
      <sz val="9"/>
      <color theme="1"/>
      <name val="Arial"/>
      <family val="2"/>
    </font>
    <font>
      <sz val="11"/>
      <name val="Arial"/>
      <family val="2"/>
    </font>
    <font>
      <b/>
      <sz val="11"/>
      <name val="Arial"/>
      <family val="2"/>
    </font>
    <font>
      <shadow/>
      <sz val="10"/>
      <color theme="1"/>
      <name val="Arial Narrow"/>
      <family val="2"/>
    </font>
    <font>
      <i/>
      <shadow/>
      <sz val="10"/>
      <color theme="1"/>
      <name val="Arial Narrow"/>
      <family val="2"/>
    </font>
    <font>
      <shadow/>
      <sz val="11"/>
      <color theme="1"/>
      <name val="Arial Narrow"/>
      <family val="2"/>
    </font>
    <font>
      <i/>
      <shadow/>
      <sz val="11"/>
      <color theme="1"/>
      <name val="Arial Narrow"/>
      <family val="2"/>
    </font>
    <font>
      <b/>
      <sz val="10"/>
      <color theme="1"/>
      <name val="Arial Narrow"/>
      <family val="2"/>
    </font>
    <font>
      <b/>
      <sz val="9"/>
      <color theme="1"/>
      <name val="Arial Narrow"/>
      <family val="2"/>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style="thin">
        <color auto="1"/>
      </right>
      <top style="hair">
        <color auto="1"/>
      </top>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style="hair">
        <color auto="1"/>
      </top>
      <bottom style="hair">
        <color auto="1"/>
      </bottom>
      <diagonal/>
    </border>
    <border>
      <left/>
      <right/>
      <top/>
      <bottom style="thin">
        <color auto="1"/>
      </bottom>
      <diagonal/>
    </border>
  </borders>
  <cellStyleXfs count="4">
    <xf numFmtId="0" fontId="0" fillId="0" borderId="0"/>
    <xf numFmtId="41" fontId="1" fillId="0" borderId="0" applyFont="0" applyFill="0" applyBorder="0" applyAlignment="0" applyProtection="0"/>
    <xf numFmtId="43" fontId="1" fillId="0" borderId="0" applyFont="0" applyFill="0" applyBorder="0" applyAlignment="0" applyProtection="0"/>
    <xf numFmtId="0" fontId="13" fillId="0" borderId="0"/>
  </cellStyleXfs>
  <cellXfs count="417">
    <xf numFmtId="0" fontId="0" fillId="0" borderId="0" xfId="0"/>
    <xf numFmtId="0" fontId="2" fillId="0" borderId="0" xfId="0" applyFont="1"/>
    <xf numFmtId="41" fontId="2" fillId="0" borderId="0" xfId="1" applyFont="1"/>
    <xf numFmtId="0" fontId="2" fillId="0" borderId="0" xfId="0" quotePrefix="1" applyFont="1"/>
    <xf numFmtId="17" fontId="2" fillId="0" borderId="0" xfId="0" quotePrefix="1" applyNumberFormat="1" applyFont="1"/>
    <xf numFmtId="0" fontId="2" fillId="0" borderId="3" xfId="0" applyFont="1" applyBorder="1"/>
    <xf numFmtId="0" fontId="2" fillId="0" borderId="4" xfId="0" applyFont="1" applyBorder="1"/>
    <xf numFmtId="41" fontId="2" fillId="0" borderId="4" xfId="1" applyFont="1" applyBorder="1"/>
    <xf numFmtId="0" fontId="2" fillId="0" borderId="6" xfId="0" applyFont="1" applyBorder="1"/>
    <xf numFmtId="0" fontId="2" fillId="0" borderId="7" xfId="0" applyFont="1" applyBorder="1"/>
    <xf numFmtId="0" fontId="2" fillId="0" borderId="8" xfId="0" applyFont="1" applyBorder="1"/>
    <xf numFmtId="0" fontId="2" fillId="0" borderId="5" xfId="0" applyFont="1" applyBorder="1"/>
    <xf numFmtId="0" fontId="2" fillId="0" borderId="4" xfId="0" applyFont="1" applyBorder="1" applyAlignment="1">
      <alignment horizontal="center"/>
    </xf>
    <xf numFmtId="0" fontId="2" fillId="0" borderId="9" xfId="0" applyFont="1" applyBorder="1" applyAlignment="1">
      <alignment horizontal="center"/>
    </xf>
    <xf numFmtId="0" fontId="2" fillId="0" borderId="10" xfId="0" applyFont="1" applyBorder="1"/>
    <xf numFmtId="0" fontId="2" fillId="0" borderId="11" xfId="0" applyFont="1" applyBorder="1"/>
    <xf numFmtId="0" fontId="2" fillId="0" borderId="9" xfId="0" applyFont="1" applyBorder="1"/>
    <xf numFmtId="0" fontId="2" fillId="0" borderId="10" xfId="0" quotePrefix="1" applyFont="1" applyBorder="1"/>
    <xf numFmtId="164" fontId="2" fillId="0" borderId="9" xfId="1" applyNumberFormat="1" applyFont="1" applyBorder="1" applyAlignment="1">
      <alignment horizontal="right"/>
    </xf>
    <xf numFmtId="41" fontId="2" fillId="0" borderId="9" xfId="1" applyFont="1" applyBorder="1"/>
    <xf numFmtId="41" fontId="2" fillId="0" borderId="9" xfId="0" applyNumberFormat="1" applyFont="1" applyBorder="1"/>
    <xf numFmtId="0" fontId="2" fillId="0" borderId="9" xfId="0" applyFont="1" applyBorder="1" applyAlignment="1">
      <alignment vertical="top" wrapText="1"/>
    </xf>
    <xf numFmtId="41" fontId="2" fillId="0" borderId="9" xfId="1" applyFont="1" applyBorder="1" applyAlignment="1">
      <alignment vertical="top"/>
    </xf>
    <xf numFmtId="41" fontId="2" fillId="0" borderId="9" xfId="0" applyNumberFormat="1" applyFont="1" applyBorder="1" applyAlignment="1">
      <alignment vertical="top"/>
    </xf>
    <xf numFmtId="0" fontId="2" fillId="0" borderId="10" xfId="0" quotePrefix="1" applyFont="1" applyBorder="1" applyAlignment="1">
      <alignment vertical="top"/>
    </xf>
    <xf numFmtId="0" fontId="2" fillId="0" borderId="11" xfId="0" applyFont="1" applyBorder="1" applyAlignment="1">
      <alignment vertical="top"/>
    </xf>
    <xf numFmtId="164" fontId="2" fillId="0" borderId="9" xfId="1" applyNumberFormat="1" applyFont="1" applyBorder="1"/>
    <xf numFmtId="0" fontId="2" fillId="0" borderId="9" xfId="0" applyFont="1" applyBorder="1" applyAlignment="1">
      <alignment wrapText="1"/>
    </xf>
    <xf numFmtId="0" fontId="2" fillId="0" borderId="10" xfId="0" applyFont="1" applyBorder="1" applyAlignment="1">
      <alignment vertical="top"/>
    </xf>
    <xf numFmtId="0" fontId="2" fillId="0" borderId="9" xfId="0" applyFont="1" applyBorder="1" applyAlignment="1">
      <alignment vertical="top"/>
    </xf>
    <xf numFmtId="0" fontId="4" fillId="0" borderId="9" xfId="0" applyFont="1" applyBorder="1"/>
    <xf numFmtId="0" fontId="2" fillId="0" borderId="11" xfId="0" applyFont="1" applyBorder="1" applyAlignment="1">
      <alignment wrapText="1"/>
    </xf>
    <xf numFmtId="0" fontId="2" fillId="0" borderId="13" xfId="0" applyFont="1" applyBorder="1" applyAlignment="1">
      <alignment horizontal="left" vertical="top" wrapText="1"/>
    </xf>
    <xf numFmtId="164" fontId="3" fillId="0" borderId="9" xfId="1" applyNumberFormat="1" applyFont="1" applyBorder="1"/>
    <xf numFmtId="164" fontId="3" fillId="0" borderId="9" xfId="0" applyNumberFormat="1" applyFont="1" applyBorder="1"/>
    <xf numFmtId="0" fontId="6" fillId="0" borderId="10" xfId="0" applyFont="1" applyBorder="1"/>
    <xf numFmtId="0" fontId="6" fillId="0" borderId="11" xfId="0" applyFont="1" applyBorder="1"/>
    <xf numFmtId="0" fontId="6" fillId="0" borderId="10" xfId="0" quotePrefix="1" applyFont="1" applyBorder="1"/>
    <xf numFmtId="0" fontId="6" fillId="0" borderId="11" xfId="0" applyFont="1" applyBorder="1" applyAlignment="1">
      <alignment vertical="top"/>
    </xf>
    <xf numFmtId="0" fontId="6" fillId="0" borderId="10" xfId="0" quotePrefix="1" applyFont="1" applyBorder="1" applyAlignment="1">
      <alignment vertical="top"/>
    </xf>
    <xf numFmtId="0" fontId="6" fillId="0" borderId="11" xfId="0" applyFont="1" applyBorder="1" applyAlignment="1">
      <alignment wrapText="1"/>
    </xf>
    <xf numFmtId="0" fontId="6" fillId="0" borderId="0" xfId="0" applyFont="1"/>
    <xf numFmtId="0" fontId="6" fillId="0" borderId="10" xfId="0" applyFont="1" applyBorder="1" applyAlignment="1">
      <alignment vertical="top"/>
    </xf>
    <xf numFmtId="0" fontId="7" fillId="0" borderId="11" xfId="0" applyFont="1" applyBorder="1"/>
    <xf numFmtId="0" fontId="7" fillId="0" borderId="8" xfId="0" applyFont="1" applyBorder="1"/>
    <xf numFmtId="0" fontId="6" fillId="0" borderId="7" xfId="0" applyFont="1" applyBorder="1"/>
    <xf numFmtId="0" fontId="6" fillId="0" borderId="5" xfId="0" applyFont="1" applyBorder="1"/>
    <xf numFmtId="0" fontId="6" fillId="0" borderId="9" xfId="0" applyFont="1" applyBorder="1"/>
    <xf numFmtId="0" fontId="6" fillId="0" borderId="9" xfId="0" applyFont="1" applyBorder="1" applyAlignment="1">
      <alignment vertical="top" wrapText="1"/>
    </xf>
    <xf numFmtId="0" fontId="6" fillId="0" borderId="9" xfId="0" applyFont="1" applyBorder="1" applyAlignment="1">
      <alignment wrapText="1"/>
    </xf>
    <xf numFmtId="0" fontId="8" fillId="0" borderId="9" xfId="0" applyFont="1" applyBorder="1"/>
    <xf numFmtId="0" fontId="6" fillId="0" borderId="8" xfId="0" applyFont="1" applyBorder="1"/>
    <xf numFmtId="0" fontId="6" fillId="0" borderId="4" xfId="0" applyFont="1" applyBorder="1"/>
    <xf numFmtId="0" fontId="6" fillId="0" borderId="13" xfId="0" applyFont="1" applyBorder="1" applyAlignment="1">
      <alignment horizontal="left" vertical="top" wrapText="1"/>
    </xf>
    <xf numFmtId="0" fontId="2" fillId="0" borderId="15" xfId="0" applyFont="1" applyBorder="1" applyAlignment="1">
      <alignment horizontal="center"/>
    </xf>
    <xf numFmtId="0" fontId="2" fillId="0" borderId="16" xfId="0" applyFont="1" applyBorder="1"/>
    <xf numFmtId="0" fontId="2" fillId="0" borderId="12" xfId="0" applyFont="1" applyBorder="1"/>
    <xf numFmtId="164" fontId="2" fillId="0" borderId="15" xfId="1" applyNumberFormat="1" applyFont="1" applyBorder="1"/>
    <xf numFmtId="0" fontId="6" fillId="0" borderId="15" xfId="0" applyFont="1" applyBorder="1" applyAlignment="1">
      <alignment wrapText="1"/>
    </xf>
    <xf numFmtId="41" fontId="2" fillId="0" borderId="15" xfId="1" applyFont="1" applyBorder="1" applyAlignment="1">
      <alignment vertical="top"/>
    </xf>
    <xf numFmtId="41" fontId="2" fillId="0" borderId="15" xfId="0" applyNumberFormat="1" applyFont="1" applyBorder="1" applyAlignment="1">
      <alignment vertical="top"/>
    </xf>
    <xf numFmtId="0" fontId="6" fillId="0" borderId="16" xfId="0" applyFont="1" applyBorder="1" applyAlignment="1">
      <alignment vertical="top"/>
    </xf>
    <xf numFmtId="0" fontId="6" fillId="0" borderId="12" xfId="0" applyFont="1" applyBorder="1" applyAlignment="1">
      <alignment vertical="top"/>
    </xf>
    <xf numFmtId="0" fontId="2" fillId="0" borderId="14" xfId="0" applyFont="1" applyBorder="1" applyAlignment="1">
      <alignment horizontal="center"/>
    </xf>
    <xf numFmtId="0" fontId="2" fillId="0" borderId="17" xfId="0" applyFont="1" applyBorder="1"/>
    <xf numFmtId="0" fontId="2" fillId="0" borderId="13" xfId="0" applyFont="1" applyBorder="1"/>
    <xf numFmtId="164" fontId="2" fillId="0" borderId="14" xfId="1" applyNumberFormat="1" applyFont="1" applyBorder="1"/>
    <xf numFmtId="0" fontId="6" fillId="0" borderId="14" xfId="0" applyFont="1" applyBorder="1"/>
    <xf numFmtId="0" fontId="2" fillId="0" borderId="14" xfId="0" applyFont="1" applyBorder="1"/>
    <xf numFmtId="0" fontId="6" fillId="0" borderId="17" xfId="0" applyFont="1" applyBorder="1"/>
    <xf numFmtId="0" fontId="6" fillId="0" borderId="13" xfId="0" applyFont="1" applyBorder="1"/>
    <xf numFmtId="0" fontId="2" fillId="0" borderId="18" xfId="0" applyFont="1" applyBorder="1"/>
    <xf numFmtId="0" fontId="2" fillId="0" borderId="19" xfId="0" applyFont="1" applyBorder="1"/>
    <xf numFmtId="164" fontId="2" fillId="0" borderId="1" xfId="1" applyNumberFormat="1" applyFont="1" applyBorder="1"/>
    <xf numFmtId="0" fontId="6" fillId="0" borderId="1" xfId="0" applyFont="1" applyBorder="1"/>
    <xf numFmtId="0" fontId="2" fillId="0" borderId="1" xfId="0" applyFont="1" applyBorder="1"/>
    <xf numFmtId="0" fontId="6" fillId="0" borderId="18" xfId="0" applyFont="1" applyBorder="1"/>
    <xf numFmtId="0" fontId="6" fillId="0" borderId="19" xfId="0" applyFont="1" applyBorder="1"/>
    <xf numFmtId="0" fontId="8" fillId="0" borderId="15" xfId="0" applyFont="1" applyBorder="1"/>
    <xf numFmtId="41" fontId="2" fillId="0" borderId="15" xfId="1" applyFont="1" applyBorder="1"/>
    <xf numFmtId="0" fontId="6" fillId="0" borderId="16" xfId="0" applyFont="1" applyBorder="1"/>
    <xf numFmtId="0" fontId="6" fillId="0" borderId="12" xfId="0" applyFont="1" applyBorder="1"/>
    <xf numFmtId="41" fontId="2" fillId="0" borderId="14" xfId="1" applyFont="1" applyBorder="1"/>
    <xf numFmtId="41" fontId="2" fillId="0" borderId="1" xfId="1" applyFont="1" applyBorder="1"/>
    <xf numFmtId="164" fontId="2" fillId="0" borderId="1" xfId="0" applyNumberFormat="1" applyFont="1" applyBorder="1"/>
    <xf numFmtId="0" fontId="6" fillId="0" borderId="15" xfId="0" applyFont="1" applyBorder="1"/>
    <xf numFmtId="41" fontId="2" fillId="0" borderId="15" xfId="0" applyNumberFormat="1" applyFont="1" applyBorder="1"/>
    <xf numFmtId="0" fontId="2" fillId="0" borderId="15" xfId="0" applyFont="1" applyBorder="1"/>
    <xf numFmtId="0" fontId="2" fillId="0" borderId="15" xfId="0" applyFont="1" applyBorder="1" applyAlignment="1">
      <alignment vertical="top"/>
    </xf>
    <xf numFmtId="0" fontId="2" fillId="0" borderId="1" xfId="0" applyFont="1" applyBorder="1" applyAlignment="1">
      <alignment horizontal="center"/>
    </xf>
    <xf numFmtId="164" fontId="2" fillId="0" borderId="3" xfId="1" applyNumberFormat="1" applyFont="1" applyBorder="1"/>
    <xf numFmtId="0" fontId="6" fillId="0" borderId="3" xfId="0" applyFont="1" applyBorder="1"/>
    <xf numFmtId="41" fontId="2" fillId="0" borderId="3" xfId="1" applyFont="1" applyBorder="1"/>
    <xf numFmtId="0" fontId="6" fillId="0" borderId="6" xfId="0" applyFont="1" applyBorder="1"/>
    <xf numFmtId="0" fontId="2" fillId="0" borderId="3" xfId="0" applyFont="1" applyBorder="1" applyAlignment="1">
      <alignment horizontal="center"/>
    </xf>
    <xf numFmtId="0" fontId="6" fillId="0" borderId="16" xfId="0" quotePrefix="1" applyFont="1" applyBorder="1"/>
    <xf numFmtId="164" fontId="2" fillId="0" borderId="9" xfId="1" applyNumberFormat="1" applyFont="1" applyBorder="1" applyAlignment="1">
      <alignment vertical="center"/>
    </xf>
    <xf numFmtId="41" fontId="2" fillId="0" borderId="9" xfId="1"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9" xfId="0" applyFont="1" applyBorder="1" applyAlignment="1">
      <alignment vertical="center"/>
    </xf>
    <xf numFmtId="0" fontId="6" fillId="0" borderId="9" xfId="0" applyFont="1" applyBorder="1" applyAlignment="1">
      <alignment vertical="center" wrapText="1"/>
    </xf>
    <xf numFmtId="0" fontId="2" fillId="0" borderId="9" xfId="0" applyFont="1" applyBorder="1" applyAlignment="1">
      <alignment horizontal="center" vertical="center"/>
    </xf>
    <xf numFmtId="0" fontId="2" fillId="0" borderId="20" xfId="0" applyFont="1" applyBorder="1" applyAlignment="1">
      <alignment horizontal="center"/>
    </xf>
    <xf numFmtId="0" fontId="2" fillId="0" borderId="20" xfId="0" applyFont="1" applyBorder="1"/>
    <xf numFmtId="164" fontId="2" fillId="0" borderId="20" xfId="1" applyNumberFormat="1" applyFont="1" applyBorder="1"/>
    <xf numFmtId="0" fontId="6" fillId="0" borderId="20" xfId="0" applyFont="1" applyBorder="1"/>
    <xf numFmtId="41" fontId="2" fillId="0" borderId="20" xfId="1" applyFont="1" applyBorder="1"/>
    <xf numFmtId="0" fontId="2" fillId="0" borderId="21" xfId="0" applyFont="1" applyBorder="1"/>
    <xf numFmtId="164" fontId="2" fillId="0" borderId="21" xfId="1" applyNumberFormat="1" applyFont="1" applyBorder="1"/>
    <xf numFmtId="0" fontId="6" fillId="0" borderId="21" xfId="0" applyFont="1" applyBorder="1"/>
    <xf numFmtId="41" fontId="2" fillId="0" borderId="21" xfId="1" applyFont="1" applyBorder="1"/>
    <xf numFmtId="0" fontId="6" fillId="0" borderId="22" xfId="0" applyFont="1" applyBorder="1"/>
    <xf numFmtId="0" fontId="6" fillId="0" borderId="23" xfId="0" applyFont="1" applyBorder="1"/>
    <xf numFmtId="0" fontId="6" fillId="0" borderId="24" xfId="0" applyFont="1" applyBorder="1"/>
    <xf numFmtId="0" fontId="6" fillId="0" borderId="25" xfId="0" applyFont="1" applyBorder="1"/>
    <xf numFmtId="0" fontId="2" fillId="0" borderId="23" xfId="0" applyFont="1" applyBorder="1"/>
    <xf numFmtId="0" fontId="2" fillId="0" borderId="25" xfId="0" applyFont="1" applyBorder="1"/>
    <xf numFmtId="2" fontId="2" fillId="0" borderId="1" xfId="0" applyNumberFormat="1" applyFont="1" applyBorder="1"/>
    <xf numFmtId="164" fontId="2" fillId="0" borderId="15" xfId="1" applyNumberFormat="1" applyFont="1" applyBorder="1" applyAlignment="1">
      <alignment vertical="top"/>
    </xf>
    <xf numFmtId="0" fontId="2" fillId="0" borderId="9" xfId="0" applyFont="1" applyBorder="1" applyAlignment="1">
      <alignment vertical="center" wrapText="1"/>
    </xf>
    <xf numFmtId="41" fontId="2" fillId="0" borderId="9" xfId="0" applyNumberFormat="1" applyFont="1" applyBorder="1" applyAlignment="1">
      <alignment vertical="center"/>
    </xf>
    <xf numFmtId="0" fontId="2" fillId="0" borderId="16" xfId="0" applyFont="1" applyBorder="1" applyAlignment="1">
      <alignment vertical="center"/>
    </xf>
    <xf numFmtId="0" fontId="2" fillId="0" borderId="12" xfId="0" applyFont="1" applyBorder="1" applyAlignment="1">
      <alignment vertical="center"/>
    </xf>
    <xf numFmtId="164" fontId="2" fillId="0" borderId="15" xfId="1" applyNumberFormat="1" applyFont="1" applyBorder="1" applyAlignment="1">
      <alignment vertical="center"/>
    </xf>
    <xf numFmtId="164" fontId="2" fillId="0" borderId="3" xfId="1" applyNumberFormat="1" applyFont="1" applyBorder="1" applyAlignment="1">
      <alignment horizontal="right"/>
    </xf>
    <xf numFmtId="0" fontId="2" fillId="0" borderId="23" xfId="0" applyFont="1" applyBorder="1" applyAlignment="1">
      <alignment vertical="center"/>
    </xf>
    <xf numFmtId="164" fontId="2" fillId="0" borderId="21" xfId="1" applyNumberFormat="1" applyFont="1" applyBorder="1" applyAlignment="1">
      <alignment vertical="center"/>
    </xf>
    <xf numFmtId="0" fontId="2" fillId="0" borderId="25" xfId="0" applyFont="1" applyBorder="1" applyAlignment="1">
      <alignment vertical="center"/>
    </xf>
    <xf numFmtId="0" fontId="6" fillId="0" borderId="14" xfId="0" applyFont="1" applyBorder="1" applyAlignment="1">
      <alignment vertical="center" wrapText="1"/>
    </xf>
    <xf numFmtId="164" fontId="2" fillId="0" borderId="14" xfId="1" applyNumberFormat="1" applyFont="1" applyBorder="1" applyAlignment="1">
      <alignment vertical="center"/>
    </xf>
    <xf numFmtId="41" fontId="2" fillId="0" borderId="14" xfId="1" applyFont="1" applyBorder="1" applyAlignment="1">
      <alignment vertical="center"/>
    </xf>
    <xf numFmtId="0" fontId="6" fillId="0" borderId="15" xfId="0" applyFont="1" applyBorder="1" applyAlignment="1">
      <alignment vertical="center" wrapText="1"/>
    </xf>
    <xf numFmtId="41" fontId="2" fillId="0" borderId="15" xfId="1" applyFont="1" applyBorder="1" applyAlignment="1">
      <alignment vertical="center"/>
    </xf>
    <xf numFmtId="2" fontId="2" fillId="0" borderId="9" xfId="1" applyNumberFormat="1" applyFont="1" applyBorder="1" applyAlignment="1">
      <alignment vertical="center"/>
    </xf>
    <xf numFmtId="165" fontId="2" fillId="0" borderId="9" xfId="1" applyNumberFormat="1" applyFont="1" applyBorder="1"/>
    <xf numFmtId="0" fontId="2" fillId="0" borderId="18" xfId="0" applyFont="1" applyBorder="1" applyAlignment="1">
      <alignment vertical="center"/>
    </xf>
    <xf numFmtId="0" fontId="2" fillId="0" borderId="19" xfId="0" applyFont="1" applyBorder="1" applyAlignment="1">
      <alignment vertical="center"/>
    </xf>
    <xf numFmtId="164" fontId="2" fillId="0" borderId="1" xfId="1" applyNumberFormat="1" applyFont="1" applyBorder="1" applyAlignment="1">
      <alignment vertical="center"/>
    </xf>
    <xf numFmtId="0" fontId="6" fillId="0" borderId="1" xfId="0" applyFont="1" applyBorder="1" applyAlignment="1">
      <alignment vertical="center" wrapText="1"/>
    </xf>
    <xf numFmtId="41" fontId="2" fillId="0" borderId="1" xfId="1" applyFont="1" applyBorder="1" applyAlignment="1">
      <alignment vertical="center"/>
    </xf>
    <xf numFmtId="0" fontId="2" fillId="0" borderId="21" xfId="0" applyFont="1" applyBorder="1" applyAlignment="1">
      <alignment horizontal="center"/>
    </xf>
    <xf numFmtId="0" fontId="6" fillId="0" borderId="21" xfId="0" applyFont="1" applyBorder="1" applyAlignment="1">
      <alignment vertical="center" wrapText="1"/>
    </xf>
    <xf numFmtId="41" fontId="2" fillId="0" borderId="21" xfId="1" applyFont="1" applyBorder="1" applyAlignment="1">
      <alignment vertical="center"/>
    </xf>
    <xf numFmtId="0" fontId="2" fillId="0" borderId="3" xfId="0" applyFont="1" applyBorder="1" applyAlignment="1">
      <alignment vertical="top"/>
    </xf>
    <xf numFmtId="0" fontId="2" fillId="0" borderId="9" xfId="1" applyNumberFormat="1" applyFont="1" applyBorder="1" applyAlignment="1">
      <alignment vertical="center"/>
    </xf>
    <xf numFmtId="0" fontId="2" fillId="0" borderId="9" xfId="1" applyNumberFormat="1"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6" fillId="0" borderId="12" xfId="0" applyFont="1" applyBorder="1" applyAlignment="1">
      <alignment horizontal="left" vertical="top" wrapText="1"/>
    </xf>
    <xf numFmtId="0" fontId="2" fillId="0" borderId="0" xfId="0" applyFont="1" applyAlignment="1">
      <alignment horizontal="center"/>
    </xf>
    <xf numFmtId="0" fontId="6" fillId="0" borderId="11" xfId="0" applyFont="1" applyBorder="1" applyAlignment="1">
      <alignment horizontal="left" vertical="top" wrapText="1"/>
    </xf>
    <xf numFmtId="0" fontId="2" fillId="0" borderId="10" xfId="0" applyFont="1" applyBorder="1" applyAlignment="1">
      <alignment vertical="center" wrapText="1"/>
    </xf>
    <xf numFmtId="0" fontId="2" fillId="0" borderId="11" xfId="0" applyFont="1" applyBorder="1" applyAlignment="1">
      <alignment vertical="center" wrapText="1"/>
    </xf>
    <xf numFmtId="164" fontId="2" fillId="0" borderId="9" xfId="1" applyNumberFormat="1" applyFont="1" applyBorder="1" applyAlignment="1">
      <alignment vertical="center" wrapText="1"/>
    </xf>
    <xf numFmtId="41" fontId="2" fillId="0" borderId="9" xfId="1" applyFont="1" applyBorder="1" applyAlignment="1">
      <alignment vertical="center" wrapText="1"/>
    </xf>
    <xf numFmtId="0" fontId="6" fillId="0" borderId="10" xfId="0" applyFont="1" applyBorder="1" applyAlignment="1">
      <alignment wrapText="1"/>
    </xf>
    <xf numFmtId="0" fontId="6" fillId="0" borderId="16" xfId="0" applyFont="1" applyBorder="1" applyAlignment="1">
      <alignment vertical="center"/>
    </xf>
    <xf numFmtId="0" fontId="6" fillId="0" borderId="12" xfId="0" applyFont="1" applyBorder="1" applyAlignment="1">
      <alignment vertical="center"/>
    </xf>
    <xf numFmtId="0" fontId="6" fillId="0" borderId="11" xfId="0" applyFont="1" applyBorder="1" applyAlignment="1">
      <alignment vertical="center"/>
    </xf>
    <xf numFmtId="41" fontId="2" fillId="0" borderId="1" xfId="0" applyNumberFormat="1" applyFont="1" applyBorder="1"/>
    <xf numFmtId="43" fontId="6" fillId="0" borderId="11" xfId="0" applyNumberFormat="1" applyFont="1" applyBorder="1"/>
    <xf numFmtId="43" fontId="6" fillId="0" borderId="19" xfId="0" applyNumberFormat="1" applyFont="1" applyBorder="1"/>
    <xf numFmtId="43" fontId="2" fillId="0" borderId="0" xfId="0" applyNumberFormat="1" applyFont="1"/>
    <xf numFmtId="41" fontId="2" fillId="0" borderId="0" xfId="0" applyNumberFormat="1" applyFont="1"/>
    <xf numFmtId="0" fontId="2" fillId="0" borderId="0" xfId="0" applyFont="1" applyAlignment="1">
      <alignment horizontal="right"/>
    </xf>
    <xf numFmtId="41" fontId="2" fillId="0" borderId="0" xfId="1" applyFont="1" applyAlignment="1">
      <alignment horizontal="left"/>
    </xf>
    <xf numFmtId="43" fontId="6" fillId="0" borderId="11" xfId="0" applyNumberFormat="1" applyFont="1" applyBorder="1" applyAlignment="1">
      <alignment wrapText="1"/>
    </xf>
    <xf numFmtId="43" fontId="2" fillId="0" borderId="19" xfId="0" applyNumberFormat="1" applyFont="1" applyBorder="1"/>
    <xf numFmtId="0" fontId="6" fillId="0" borderId="11" xfId="0" applyFont="1" applyBorder="1" applyAlignment="1">
      <alignment vertical="center" wrapText="1"/>
    </xf>
    <xf numFmtId="164" fontId="6" fillId="0" borderId="19" xfId="1" applyNumberFormat="1" applyFont="1" applyBorder="1"/>
    <xf numFmtId="43" fontId="6" fillId="0" borderId="12" xfId="0" applyNumberFormat="1" applyFont="1" applyBorder="1"/>
    <xf numFmtId="166" fontId="6" fillId="0" borderId="11" xfId="0" applyNumberFormat="1" applyFont="1" applyBorder="1"/>
    <xf numFmtId="166" fontId="6" fillId="0" borderId="19" xfId="0" applyNumberFormat="1" applyFont="1" applyBorder="1"/>
    <xf numFmtId="166" fontId="6" fillId="0" borderId="11" xfId="0" applyNumberFormat="1" applyFont="1" applyBorder="1" applyAlignment="1">
      <alignment vertical="center"/>
    </xf>
    <xf numFmtId="41" fontId="6" fillId="0" borderId="11" xfId="0" applyNumberFormat="1" applyFont="1" applyBorder="1" applyAlignment="1">
      <alignment horizontal="left" vertical="top" wrapText="1"/>
    </xf>
    <xf numFmtId="41" fontId="6" fillId="0" borderId="11" xfId="0" applyNumberFormat="1" applyFont="1" applyBorder="1" applyAlignment="1">
      <alignment wrapText="1"/>
    </xf>
    <xf numFmtId="0" fontId="2" fillId="0" borderId="26" xfId="0" applyFont="1" applyBorder="1"/>
    <xf numFmtId="41" fontId="2" fillId="0" borderId="26" xfId="1" applyFont="1" applyBorder="1"/>
    <xf numFmtId="43" fontId="2" fillId="0" borderId="26" xfId="0" applyNumberFormat="1" applyFont="1" applyBorder="1"/>
    <xf numFmtId="41" fontId="2" fillId="0" borderId="9" xfId="1" applyFont="1" applyBorder="1" applyAlignment="1">
      <alignment horizontal="center" vertical="center"/>
    </xf>
    <xf numFmtId="164" fontId="2" fillId="0" borderId="9" xfId="1" applyNumberFormat="1" applyFont="1" applyBorder="1" applyAlignment="1">
      <alignment horizontal="center" vertical="center"/>
    </xf>
    <xf numFmtId="41" fontId="2" fillId="0" borderId="9" xfId="1" applyFont="1" applyBorder="1" applyAlignment="1">
      <alignment horizontal="center"/>
    </xf>
    <xf numFmtId="164" fontId="2" fillId="0" borderId="9" xfId="1" applyNumberFormat="1" applyFont="1" applyBorder="1" applyAlignment="1">
      <alignment horizontal="center"/>
    </xf>
    <xf numFmtId="43" fontId="9" fillId="0" borderId="19" xfId="0" applyNumberFormat="1" applyFont="1" applyBorder="1"/>
    <xf numFmtId="41" fontId="6" fillId="0" borderId="19" xfId="0" applyNumberFormat="1" applyFont="1" applyBorder="1"/>
    <xf numFmtId="0" fontId="10" fillId="2" borderId="0" xfId="0" applyFont="1" applyFill="1"/>
    <xf numFmtId="0" fontId="10" fillId="2" borderId="0" xfId="0" applyFont="1" applyFill="1" applyAlignment="1">
      <alignment horizontal="right"/>
    </xf>
    <xf numFmtId="0" fontId="10" fillId="2" borderId="0" xfId="0" applyFont="1" applyFill="1" applyAlignment="1">
      <alignment horizontal="left"/>
    </xf>
    <xf numFmtId="0" fontId="11" fillId="2" borderId="0" xfId="0" applyFont="1" applyFill="1"/>
    <xf numFmtId="0" fontId="10" fillId="2" borderId="2" xfId="0" applyFont="1" applyFill="1" applyBorder="1" applyAlignment="1">
      <alignment horizontal="center"/>
    </xf>
    <xf numFmtId="0" fontId="10" fillId="2" borderId="4" xfId="0" applyFont="1" applyFill="1" applyBorder="1" applyAlignment="1">
      <alignment horizontal="center"/>
    </xf>
    <xf numFmtId="0" fontId="10" fillId="2" borderId="1" xfId="0" applyFont="1" applyFill="1" applyBorder="1" applyAlignment="1">
      <alignment horizontal="center"/>
    </xf>
    <xf numFmtId="0" fontId="10" fillId="2" borderId="1" xfId="0" applyFont="1" applyFill="1" applyBorder="1"/>
    <xf numFmtId="166" fontId="10" fillId="2" borderId="1" xfId="2" applyNumberFormat="1" applyFont="1" applyFill="1" applyBorder="1"/>
    <xf numFmtId="0" fontId="10" fillId="2" borderId="1" xfId="0" applyFont="1" applyFill="1" applyBorder="1" applyAlignment="1">
      <alignment horizontal="left"/>
    </xf>
    <xf numFmtId="0" fontId="12" fillId="2" borderId="1" xfId="0" applyFont="1" applyFill="1" applyBorder="1" applyAlignment="1">
      <alignment horizontal="center"/>
    </xf>
    <xf numFmtId="0" fontId="12" fillId="2" borderId="1" xfId="0" applyFont="1" applyFill="1" applyBorder="1"/>
    <xf numFmtId="166" fontId="12" fillId="2" borderId="1" xfId="2" applyNumberFormat="1" applyFont="1" applyFill="1" applyBorder="1"/>
    <xf numFmtId="0" fontId="12" fillId="2" borderId="1" xfId="0" applyFont="1" applyFill="1" applyBorder="1" applyAlignment="1">
      <alignment horizontal="left"/>
    </xf>
    <xf numFmtId="0" fontId="10" fillId="2" borderId="20" xfId="0" applyFont="1" applyFill="1" applyBorder="1"/>
    <xf numFmtId="0" fontId="10" fillId="2" borderId="4" xfId="0" applyFont="1" applyFill="1" applyBorder="1"/>
    <xf numFmtId="0" fontId="10" fillId="2" borderId="21" xfId="0" applyFont="1" applyFill="1" applyBorder="1"/>
    <xf numFmtId="0" fontId="10" fillId="2" borderId="2" xfId="0" applyFont="1" applyFill="1" applyBorder="1"/>
    <xf numFmtId="0" fontId="10" fillId="2" borderId="3" xfId="0" applyFont="1" applyFill="1" applyBorder="1"/>
    <xf numFmtId="0" fontId="10" fillId="3" borderId="0" xfId="0" applyFont="1" applyFill="1"/>
    <xf numFmtId="0" fontId="14" fillId="0" borderId="0" xfId="3" applyFont="1" applyAlignment="1">
      <alignment horizontal="center"/>
    </xf>
    <xf numFmtId="0" fontId="10" fillId="2" borderId="9" xfId="0" applyFont="1" applyFill="1" applyBorder="1"/>
    <xf numFmtId="0" fontId="12" fillId="2" borderId="4" xfId="0" applyFont="1" applyFill="1" applyBorder="1"/>
    <xf numFmtId="0" fontId="10" fillId="2" borderId="1" xfId="0" applyFont="1" applyFill="1" applyBorder="1" applyAlignment="1">
      <alignment horizontal="center" vertical="center"/>
    </xf>
    <xf numFmtId="166" fontId="10" fillId="2" borderId="1" xfId="0" applyNumberFormat="1" applyFont="1" applyFill="1" applyBorder="1" applyAlignment="1">
      <alignment vertical="center"/>
    </xf>
    <xf numFmtId="0" fontId="15" fillId="0" borderId="0" xfId="0" applyFont="1"/>
    <xf numFmtId="0" fontId="15" fillId="2" borderId="0" xfId="0" applyFont="1" applyFill="1"/>
    <xf numFmtId="0" fontId="16" fillId="0" borderId="0" xfId="0" applyFont="1" applyAlignment="1">
      <alignment horizontal="center"/>
    </xf>
    <xf numFmtId="0" fontId="15" fillId="0" borderId="0" xfId="0" applyFont="1" applyAlignment="1">
      <alignment horizontal="center"/>
    </xf>
    <xf numFmtId="0" fontId="16" fillId="0" borderId="0" xfId="0" applyFont="1"/>
    <xf numFmtId="0" fontId="2" fillId="0" borderId="0" xfId="0" applyFont="1" applyAlignment="1">
      <alignment vertical="center"/>
    </xf>
    <xf numFmtId="0" fontId="2" fillId="0" borderId="0" xfId="0" applyFont="1" applyAlignment="1">
      <alignment vertical="center" wrapText="1"/>
    </xf>
    <xf numFmtId="41" fontId="2" fillId="0" borderId="14" xfId="1" applyFont="1" applyBorder="1" applyAlignment="1"/>
    <xf numFmtId="41" fontId="2" fillId="0" borderId="9" xfId="1" applyFont="1" applyBorder="1" applyAlignment="1"/>
    <xf numFmtId="164" fontId="2" fillId="0" borderId="9" xfId="1" applyNumberFormat="1" applyFont="1" applyBorder="1" applyAlignment="1"/>
    <xf numFmtId="41" fontId="6" fillId="0" borderId="11" xfId="0" applyNumberFormat="1" applyFont="1" applyBorder="1" applyAlignment="1">
      <alignment vertical="center" wrapText="1"/>
    </xf>
    <xf numFmtId="0" fontId="2" fillId="0" borderId="3" xfId="0" applyFont="1" applyBorder="1" applyAlignment="1">
      <alignment horizontal="center" vertical="center"/>
    </xf>
    <xf numFmtId="165" fontId="2" fillId="0" borderId="9" xfId="1" applyNumberFormat="1" applyFont="1" applyBorder="1" applyAlignment="1">
      <alignment vertical="center"/>
    </xf>
    <xf numFmtId="165" fontId="2" fillId="0" borderId="15" xfId="1" applyNumberFormat="1" applyFont="1" applyBorder="1"/>
    <xf numFmtId="43" fontId="2" fillId="0" borderId="9" xfId="1" applyNumberFormat="1" applyFont="1" applyBorder="1" applyAlignment="1">
      <alignment vertical="center"/>
    </xf>
    <xf numFmtId="0" fontId="9" fillId="0" borderId="11" xfId="0" applyFont="1" applyBorder="1"/>
    <xf numFmtId="166" fontId="9" fillId="0" borderId="11" xfId="0" applyNumberFormat="1" applyFont="1" applyBorder="1"/>
    <xf numFmtId="166" fontId="9" fillId="0" borderId="11" xfId="0" applyNumberFormat="1" applyFont="1" applyBorder="1" applyAlignment="1">
      <alignment vertical="center"/>
    </xf>
    <xf numFmtId="166" fontId="9" fillId="0" borderId="19" xfId="0" applyNumberFormat="1" applyFont="1" applyBorder="1"/>
    <xf numFmtId="0" fontId="9" fillId="0" borderId="13" xfId="0" applyFont="1" applyBorder="1" applyAlignment="1">
      <alignment horizontal="center"/>
    </xf>
    <xf numFmtId="41" fontId="9" fillId="0" borderId="11" xfId="0" applyNumberFormat="1" applyFont="1" applyBorder="1" applyAlignment="1">
      <alignment horizontal="center" vertical="top" wrapText="1"/>
    </xf>
    <xf numFmtId="0" fontId="9" fillId="0" borderId="19" xfId="0" applyFont="1" applyBorder="1"/>
    <xf numFmtId="0" fontId="9" fillId="0" borderId="13" xfId="0" applyFont="1" applyBorder="1"/>
    <xf numFmtId="43" fontId="9" fillId="0" borderId="11" xfId="0" applyNumberFormat="1" applyFont="1" applyBorder="1"/>
    <xf numFmtId="41" fontId="9" fillId="0" borderId="11" xfId="0" applyNumberFormat="1" applyFont="1" applyBorder="1" applyAlignment="1">
      <alignment wrapText="1"/>
    </xf>
    <xf numFmtId="41" fontId="9" fillId="0" borderId="11" xfId="0" applyNumberFormat="1" applyFont="1" applyBorder="1" applyAlignment="1">
      <alignment vertical="center" wrapText="1"/>
    </xf>
    <xf numFmtId="41" fontId="9" fillId="0" borderId="19" xfId="0" applyNumberFormat="1" applyFont="1" applyBorder="1"/>
    <xf numFmtId="43" fontId="9" fillId="0" borderId="11" xfId="0" applyNumberFormat="1" applyFont="1" applyBorder="1" applyAlignment="1">
      <alignment wrapText="1"/>
    </xf>
    <xf numFmtId="43" fontId="9" fillId="0" borderId="12" xfId="0" applyNumberFormat="1" applyFont="1" applyBorder="1"/>
    <xf numFmtId="165" fontId="2" fillId="0" borderId="9" xfId="1" applyNumberFormat="1" applyFont="1" applyBorder="1" applyAlignment="1">
      <alignment vertical="center" wrapText="1"/>
    </xf>
    <xf numFmtId="0" fontId="2" fillId="0" borderId="0" xfId="0" applyFont="1" applyAlignment="1">
      <alignment horizontal="left"/>
    </xf>
    <xf numFmtId="0" fontId="6" fillId="0" borderId="1"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41" fontId="9" fillId="0" borderId="19" xfId="1" applyFont="1" applyBorder="1" applyAlignment="1">
      <alignment vertical="center"/>
    </xf>
    <xf numFmtId="0" fontId="2" fillId="0" borderId="1" xfId="0" applyFont="1" applyBorder="1" applyAlignment="1">
      <alignment vertical="center"/>
    </xf>
    <xf numFmtId="0" fontId="17" fillId="0" borderId="0" xfId="0" applyFont="1" applyAlignment="1">
      <alignment horizontal="left" vertical="center" readingOrder="1"/>
    </xf>
    <xf numFmtId="0" fontId="19" fillId="0" borderId="0" xfId="0" applyFont="1" applyAlignment="1">
      <alignment vertical="center" readingOrder="1"/>
    </xf>
    <xf numFmtId="0" fontId="6" fillId="0" borderId="12" xfId="0" applyFont="1" applyBorder="1" applyAlignment="1">
      <alignment vertical="center" wrapText="1"/>
    </xf>
    <xf numFmtId="0" fontId="2" fillId="0" borderId="15" xfId="0" applyFont="1" applyBorder="1" applyAlignment="1">
      <alignment vertical="center"/>
    </xf>
    <xf numFmtId="0" fontId="6" fillId="0" borderId="10" xfId="0" applyFont="1" applyBorder="1" applyAlignment="1">
      <alignment vertical="center"/>
    </xf>
    <xf numFmtId="43" fontId="6" fillId="0" borderId="11" xfId="0" applyNumberFormat="1" applyFont="1" applyBorder="1" applyAlignment="1">
      <alignment vertical="center" wrapText="1"/>
    </xf>
    <xf numFmtId="43" fontId="6" fillId="0" borderId="12" xfId="0" applyNumberFormat="1" applyFont="1" applyBorder="1" applyAlignment="1">
      <alignment vertical="center"/>
    </xf>
    <xf numFmtId="41" fontId="2" fillId="0" borderId="9" xfId="1" applyFont="1" applyBorder="1" applyAlignment="1">
      <alignment horizontal="right" vertical="center"/>
    </xf>
    <xf numFmtId="164" fontId="2" fillId="0" borderId="9" xfId="1" applyNumberFormat="1" applyFont="1" applyBorder="1" applyAlignment="1">
      <alignment horizontal="right" vertical="center"/>
    </xf>
    <xf numFmtId="0" fontId="6" fillId="0" borderId="10" xfId="0" quotePrefix="1" applyFont="1" applyBorder="1" applyAlignment="1">
      <alignment vertical="center"/>
    </xf>
    <xf numFmtId="0" fontId="2" fillId="0" borderId="9" xfId="0" applyFont="1" applyBorder="1" applyAlignment="1">
      <alignment vertical="center"/>
    </xf>
    <xf numFmtId="0" fontId="17" fillId="0" borderId="28" xfId="0" applyFont="1" applyBorder="1" applyAlignment="1">
      <alignment horizontal="left" vertical="center" readingOrder="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21" xfId="0" applyFont="1" applyBorder="1" applyAlignment="1">
      <alignment wrapText="1"/>
    </xf>
    <xf numFmtId="43" fontId="6" fillId="0" borderId="23" xfId="0" applyNumberFormat="1" applyFont="1" applyBorder="1"/>
    <xf numFmtId="0" fontId="2" fillId="0" borderId="5" xfId="0" applyFont="1" applyBorder="1" applyAlignment="1">
      <alignment vertical="center"/>
    </xf>
    <xf numFmtId="164" fontId="2" fillId="0" borderId="4" xfId="1" applyNumberFormat="1" applyFont="1" applyBorder="1" applyAlignment="1">
      <alignment vertical="center"/>
    </xf>
    <xf numFmtId="0" fontId="2" fillId="0" borderId="7" xfId="0" applyFont="1" applyBorder="1" applyAlignment="1">
      <alignment vertical="center"/>
    </xf>
    <xf numFmtId="165" fontId="2" fillId="0" borderId="14" xfId="1" applyNumberFormat="1" applyFont="1" applyBorder="1"/>
    <xf numFmtId="165" fontId="2" fillId="0" borderId="1" xfId="1" applyNumberFormat="1" applyFont="1" applyBorder="1"/>
    <xf numFmtId="0" fontId="2" fillId="0" borderId="26" xfId="0" applyFont="1" applyBorder="1" applyAlignment="1">
      <alignment horizontal="center"/>
    </xf>
    <xf numFmtId="164" fontId="2" fillId="0" borderId="26" xfId="0" applyNumberFormat="1" applyFont="1" applyBorder="1"/>
    <xf numFmtId="0" fontId="6" fillId="0" borderId="26" xfId="0" applyFont="1" applyBorder="1"/>
    <xf numFmtId="43" fontId="9" fillId="0" borderId="26" xfId="0" applyNumberFormat="1" applyFont="1" applyBorder="1"/>
    <xf numFmtId="164" fontId="2" fillId="0" borderId="26" xfId="1" applyNumberFormat="1" applyFont="1" applyBorder="1"/>
    <xf numFmtId="164" fontId="2" fillId="0" borderId="0" xfId="1" applyNumberFormat="1" applyFont="1" applyBorder="1"/>
    <xf numFmtId="41" fontId="2" fillId="0" borderId="0" xfId="1" applyFont="1" applyBorder="1"/>
    <xf numFmtId="43" fontId="9" fillId="0" borderId="0" xfId="0" applyNumberFormat="1" applyFont="1"/>
    <xf numFmtId="164" fontId="2" fillId="0" borderId="0" xfId="0" applyNumberFormat="1" applyFont="1"/>
    <xf numFmtId="2" fontId="2" fillId="0" borderId="26" xfId="0" applyNumberFormat="1" applyFont="1" applyBorder="1"/>
    <xf numFmtId="41" fontId="2" fillId="0" borderId="26" xfId="0" applyNumberFormat="1" applyFont="1" applyBorder="1"/>
    <xf numFmtId="166" fontId="9" fillId="0" borderId="26" xfId="0" applyNumberFormat="1" applyFont="1" applyBorder="1"/>
    <xf numFmtId="2" fontId="2" fillId="0" borderId="0" xfId="0" applyNumberFormat="1" applyFont="1"/>
    <xf numFmtId="166" fontId="9" fillId="0" borderId="0" xfId="0" applyNumberFormat="1" applyFont="1"/>
    <xf numFmtId="165" fontId="2" fillId="0" borderId="21" xfId="1" applyNumberFormat="1" applyFont="1" applyBorder="1" applyAlignment="1">
      <alignment vertical="center" wrapText="1"/>
    </xf>
    <xf numFmtId="0" fontId="6" fillId="0" borderId="25" xfId="0" applyFont="1" applyBorder="1" applyAlignment="1">
      <alignment vertical="center"/>
    </xf>
    <xf numFmtId="0" fontId="6" fillId="0" borderId="23" xfId="0" applyFont="1" applyBorder="1" applyAlignment="1">
      <alignment vertical="center" wrapText="1"/>
    </xf>
    <xf numFmtId="41" fontId="9" fillId="0" borderId="23" xfId="0" applyNumberFormat="1" applyFont="1" applyBorder="1" applyAlignment="1">
      <alignment vertical="center" wrapText="1"/>
    </xf>
    <xf numFmtId="0" fontId="3" fillId="0" borderId="9" xfId="0" applyFont="1" applyBorder="1" applyAlignment="1">
      <alignment horizontal="center" vertical="center"/>
    </xf>
    <xf numFmtId="0" fontId="3" fillId="0" borderId="11" xfId="0" applyFont="1" applyBorder="1"/>
    <xf numFmtId="0" fontId="21" fillId="0" borderId="9" xfId="0" applyFont="1" applyBorder="1" applyAlignment="1">
      <alignment vertical="center" wrapText="1"/>
    </xf>
    <xf numFmtId="164" fontId="3" fillId="0" borderId="9" xfId="1" applyNumberFormat="1" applyFont="1" applyBorder="1" applyAlignment="1">
      <alignment vertical="center"/>
    </xf>
    <xf numFmtId="0" fontId="21" fillId="0" borderId="10" xfId="0" quotePrefix="1" applyFont="1" applyBorder="1" applyAlignment="1">
      <alignment vertical="center"/>
    </xf>
    <xf numFmtId="0" fontId="21" fillId="0" borderId="0" xfId="0" applyFont="1" applyAlignment="1">
      <alignment vertical="center" wrapText="1"/>
    </xf>
    <xf numFmtId="166" fontId="22" fillId="0" borderId="11" xfId="0" applyNumberFormat="1" applyFont="1" applyBorder="1" applyAlignment="1">
      <alignment vertical="center"/>
    </xf>
    <xf numFmtId="0" fontId="3" fillId="0" borderId="9" xfId="0" applyFont="1" applyBorder="1" applyAlignment="1">
      <alignment vertical="center"/>
    </xf>
    <xf numFmtId="0" fontId="21" fillId="0" borderId="9" xfId="0" applyFont="1" applyBorder="1" applyAlignment="1">
      <alignment wrapText="1"/>
    </xf>
    <xf numFmtId="0" fontId="3" fillId="0" borderId="10" xfId="0" quotePrefix="1" applyFont="1" applyBorder="1" applyAlignment="1">
      <alignment vertical="center"/>
    </xf>
    <xf numFmtId="0" fontId="3" fillId="0" borderId="11" xfId="0" applyFont="1" applyBorder="1" applyAlignment="1">
      <alignment vertical="center"/>
    </xf>
    <xf numFmtId="164" fontId="3" fillId="0" borderId="9" xfId="1" applyNumberFormat="1" applyFont="1" applyBorder="1" applyAlignment="1">
      <alignment horizontal="right" vertical="center"/>
    </xf>
    <xf numFmtId="0" fontId="2" fillId="0" borderId="16" xfId="0" quotePrefix="1" applyFont="1" applyBorder="1"/>
    <xf numFmtId="0" fontId="2" fillId="0" borderId="10" xfId="0" quotePrefix="1" applyFont="1" applyBorder="1" applyAlignment="1">
      <alignment vertical="center"/>
    </xf>
    <xf numFmtId="0" fontId="2" fillId="4" borderId="26" xfId="0" applyFont="1" applyFill="1" applyBorder="1" applyAlignment="1">
      <alignment horizontal="center"/>
    </xf>
    <xf numFmtId="164" fontId="2" fillId="4" borderId="26" xfId="1" applyNumberFormat="1" applyFont="1" applyFill="1" applyBorder="1"/>
    <xf numFmtId="0" fontId="6" fillId="4" borderId="26" xfId="0" applyFont="1" applyFill="1" applyBorder="1"/>
    <xf numFmtId="2" fontId="2" fillId="4" borderId="26" xfId="0" applyNumberFormat="1" applyFont="1" applyFill="1" applyBorder="1"/>
    <xf numFmtId="0" fontId="2" fillId="4" borderId="26" xfId="0" applyFont="1" applyFill="1" applyBorder="1"/>
    <xf numFmtId="41" fontId="2" fillId="4" borderId="26" xfId="0" applyNumberFormat="1" applyFont="1" applyFill="1" applyBorder="1"/>
    <xf numFmtId="166" fontId="9" fillId="4" borderId="26" xfId="0" applyNumberFormat="1" applyFont="1" applyFill="1" applyBorder="1"/>
    <xf numFmtId="0" fontId="6" fillId="0" borderId="6" xfId="0" quotePrefix="1" applyFont="1" applyBorder="1"/>
    <xf numFmtId="0" fontId="6" fillId="0" borderId="8" xfId="0" applyFont="1" applyBorder="1" applyAlignment="1">
      <alignment vertical="top" wrapText="1"/>
    </xf>
    <xf numFmtId="164" fontId="3" fillId="0" borderId="3" xfId="1" applyNumberFormat="1" applyFont="1" applyBorder="1"/>
    <xf numFmtId="164" fontId="3" fillId="0" borderId="15" xfId="1" applyNumberFormat="1" applyFont="1" applyBorder="1"/>
    <xf numFmtId="0" fontId="2" fillId="4" borderId="3" xfId="0" applyFont="1" applyFill="1" applyBorder="1" applyAlignment="1">
      <alignment horizontal="center"/>
    </xf>
    <xf numFmtId="0" fontId="2" fillId="4" borderId="6" xfId="0" applyFont="1" applyFill="1" applyBorder="1"/>
    <xf numFmtId="0" fontId="2" fillId="4" borderId="8" xfId="0" applyFont="1" applyFill="1" applyBorder="1"/>
    <xf numFmtId="164" fontId="2" fillId="4" borderId="3" xfId="1" applyNumberFormat="1" applyFont="1" applyFill="1" applyBorder="1"/>
    <xf numFmtId="0" fontId="6" fillId="4" borderId="3" xfId="0" applyFont="1" applyFill="1" applyBorder="1"/>
    <xf numFmtId="41" fontId="2" fillId="4" borderId="3" xfId="1" applyFont="1" applyFill="1" applyBorder="1"/>
    <xf numFmtId="165" fontId="2" fillId="4" borderId="3" xfId="1" applyNumberFormat="1" applyFont="1" applyFill="1" applyBorder="1"/>
    <xf numFmtId="41" fontId="2" fillId="4" borderId="3" xfId="0" applyNumberFormat="1" applyFont="1" applyFill="1" applyBorder="1"/>
    <xf numFmtId="0" fontId="6" fillId="4" borderId="6" xfId="0" quotePrefix="1" applyFont="1" applyFill="1" applyBorder="1"/>
    <xf numFmtId="0" fontId="6" fillId="4" borderId="8" xfId="0" applyFont="1" applyFill="1" applyBorder="1" applyAlignment="1">
      <alignment vertical="top" wrapText="1"/>
    </xf>
    <xf numFmtId="41" fontId="9" fillId="4" borderId="8" xfId="0" applyNumberFormat="1" applyFont="1" applyFill="1" applyBorder="1" applyAlignment="1">
      <alignment horizontal="center" vertical="top" wrapText="1"/>
    </xf>
    <xf numFmtId="0" fontId="2" fillId="4" borderId="3" xfId="0" applyFont="1" applyFill="1" applyBorder="1"/>
    <xf numFmtId="0" fontId="21" fillId="0" borderId="9" xfId="0" applyFont="1" applyBorder="1"/>
    <xf numFmtId="41" fontId="3" fillId="0" borderId="9" xfId="1" applyFont="1" applyBorder="1"/>
    <xf numFmtId="0" fontId="21" fillId="0" borderId="10" xfId="0" applyFont="1" applyBorder="1"/>
    <xf numFmtId="0" fontId="21" fillId="0" borderId="11" xfId="0" applyFont="1" applyBorder="1"/>
    <xf numFmtId="43" fontId="22" fillId="0" borderId="11" xfId="0" applyNumberFormat="1" applyFont="1" applyBorder="1"/>
    <xf numFmtId="0" fontId="3" fillId="0" borderId="10" xfId="0" applyFont="1" applyBorder="1"/>
    <xf numFmtId="164" fontId="3" fillId="0" borderId="3" xfId="0" applyNumberFormat="1" applyFont="1" applyBorder="1"/>
    <xf numFmtId="0" fontId="2" fillId="4" borderId="0" xfId="0" applyFont="1" applyFill="1"/>
    <xf numFmtId="164" fontId="2" fillId="4" borderId="3" xfId="0" applyNumberFormat="1" applyFont="1" applyFill="1" applyBorder="1"/>
    <xf numFmtId="0" fontId="6" fillId="4" borderId="6" xfId="0" applyFont="1" applyFill="1" applyBorder="1"/>
    <xf numFmtId="0" fontId="6" fillId="4" borderId="8" xfId="0" applyFont="1" applyFill="1" applyBorder="1"/>
    <xf numFmtId="43" fontId="9" fillId="4" borderId="8" xfId="0" applyNumberFormat="1" applyFont="1" applyFill="1" applyBorder="1"/>
    <xf numFmtId="0" fontId="4" fillId="0" borderId="0" xfId="0" applyFont="1"/>
    <xf numFmtId="0" fontId="6" fillId="0" borderId="3" xfId="0" applyFont="1" applyBorder="1" applyAlignment="1">
      <alignment vertical="center" wrapText="1"/>
    </xf>
    <xf numFmtId="0" fontId="21" fillId="0" borderId="16" xfId="0" applyFont="1" applyBorder="1" applyAlignment="1">
      <alignment vertical="center"/>
    </xf>
    <xf numFmtId="0" fontId="21" fillId="0" borderId="12" xfId="0" applyFont="1" applyBorder="1" applyAlignment="1">
      <alignment vertical="center"/>
    </xf>
    <xf numFmtId="0" fontId="3" fillId="0" borderId="15" xfId="0" applyFont="1" applyBorder="1" applyAlignment="1">
      <alignment vertical="center"/>
    </xf>
    <xf numFmtId="0" fontId="3" fillId="0" borderId="0" xfId="0" applyFont="1" applyAlignment="1">
      <alignment vertical="center"/>
    </xf>
    <xf numFmtId="0" fontId="2" fillId="0" borderId="28" xfId="0" applyFont="1" applyBorder="1"/>
    <xf numFmtId="0" fontId="2" fillId="4" borderId="10" xfId="0" applyFont="1" applyFill="1" applyBorder="1"/>
    <xf numFmtId="0" fontId="2" fillId="4" borderId="28" xfId="0" applyFont="1" applyFill="1" applyBorder="1"/>
    <xf numFmtId="164" fontId="2" fillId="4" borderId="28" xfId="1" applyNumberFormat="1" applyFont="1" applyFill="1" applyBorder="1"/>
    <xf numFmtId="0" fontId="6" fillId="4" borderId="28" xfId="0" applyFont="1" applyFill="1" applyBorder="1"/>
    <xf numFmtId="41" fontId="2" fillId="4" borderId="28" xfId="1" applyFont="1" applyFill="1" applyBorder="1"/>
    <xf numFmtId="43" fontId="9" fillId="4" borderId="28" xfId="0" applyNumberFormat="1" applyFont="1" applyFill="1" applyBorder="1"/>
    <xf numFmtId="0" fontId="2" fillId="4" borderId="11" xfId="0" applyFont="1" applyFill="1" applyBorder="1"/>
    <xf numFmtId="0" fontId="2" fillId="0" borderId="29" xfId="0" applyFont="1" applyBorder="1"/>
    <xf numFmtId="43" fontId="6" fillId="0" borderId="13" xfId="0" applyNumberFormat="1" applyFont="1" applyBorder="1"/>
    <xf numFmtId="0" fontId="3" fillId="0" borderId="28" xfId="0" applyFont="1" applyBorder="1"/>
    <xf numFmtId="0" fontId="3" fillId="0" borderId="6" xfId="0" applyFont="1" applyBorder="1" applyAlignment="1">
      <alignment vertical="center"/>
    </xf>
    <xf numFmtId="0" fontId="3" fillId="0" borderId="8" xfId="0" applyFont="1" applyBorder="1" applyAlignment="1">
      <alignment vertical="center"/>
    </xf>
    <xf numFmtId="164" fontId="3" fillId="0" borderId="3" xfId="1" applyNumberFormat="1" applyFont="1" applyBorder="1" applyAlignment="1">
      <alignment vertical="center"/>
    </xf>
    <xf numFmtId="0" fontId="21" fillId="0" borderId="14" xfId="0" applyFont="1" applyBorder="1" applyAlignment="1">
      <alignment vertical="center" wrapText="1"/>
    </xf>
    <xf numFmtId="164" fontId="3" fillId="0" borderId="14" xfId="1" applyNumberFormat="1" applyFont="1" applyBorder="1" applyAlignment="1">
      <alignment vertical="center"/>
    </xf>
    <xf numFmtId="0" fontId="21" fillId="0" borderId="17" xfId="0" applyFont="1" applyBorder="1"/>
    <xf numFmtId="0" fontId="21" fillId="0" borderId="13" xfId="0" applyFont="1" applyBorder="1" applyAlignment="1">
      <alignment vertical="center"/>
    </xf>
    <xf numFmtId="0" fontId="3" fillId="4" borderId="6" xfId="0" applyFont="1" applyFill="1" applyBorder="1" applyAlignment="1">
      <alignment vertical="center"/>
    </xf>
    <xf numFmtId="0" fontId="3" fillId="4" borderId="8" xfId="0" applyFont="1" applyFill="1" applyBorder="1" applyAlignment="1">
      <alignment vertical="center"/>
    </xf>
    <xf numFmtId="164" fontId="3" fillId="4" borderId="3" xfId="1" applyNumberFormat="1" applyFont="1" applyFill="1" applyBorder="1" applyAlignment="1">
      <alignment vertical="center"/>
    </xf>
    <xf numFmtId="0" fontId="21" fillId="4" borderId="14" xfId="0" applyFont="1" applyFill="1" applyBorder="1" applyAlignment="1">
      <alignment vertical="center" wrapText="1"/>
    </xf>
    <xf numFmtId="164" fontId="3" fillId="4" borderId="14" xfId="1" applyNumberFormat="1" applyFont="1" applyFill="1" applyBorder="1" applyAlignment="1">
      <alignment vertical="center"/>
    </xf>
    <xf numFmtId="0" fontId="21" fillId="4" borderId="17" xfId="0" applyFont="1" applyFill="1" applyBorder="1"/>
    <xf numFmtId="0" fontId="21" fillId="4" borderId="13" xfId="0" applyFont="1" applyFill="1" applyBorder="1" applyAlignment="1">
      <alignment vertical="center"/>
    </xf>
    <xf numFmtId="164" fontId="3" fillId="4" borderId="8" xfId="1" applyNumberFormat="1" applyFont="1" applyFill="1" applyBorder="1" applyAlignment="1">
      <alignment vertical="center"/>
    </xf>
    <xf numFmtId="0" fontId="6" fillId="0" borderId="0" xfId="0" applyFont="1" applyAlignment="1">
      <alignment vertical="center"/>
    </xf>
    <xf numFmtId="0" fontId="3" fillId="0" borderId="3" xfId="0" applyFont="1" applyBorder="1"/>
    <xf numFmtId="0" fontId="3" fillId="0" borderId="0" xfId="0" applyFont="1"/>
    <xf numFmtId="0" fontId="3" fillId="0" borderId="8" xfId="0" applyFont="1" applyBorder="1"/>
    <xf numFmtId="0" fontId="21" fillId="0" borderId="3" xfId="0" applyFont="1" applyBorder="1" applyAlignment="1">
      <alignment vertical="center" wrapText="1"/>
    </xf>
    <xf numFmtId="0" fontId="21" fillId="0" borderId="6" xfId="0" applyFont="1" applyBorder="1"/>
    <xf numFmtId="0" fontId="21" fillId="0" borderId="8" xfId="0" applyFont="1" applyBorder="1"/>
    <xf numFmtId="43" fontId="9" fillId="0" borderId="23" xfId="0" applyNumberFormat="1" applyFont="1" applyBorder="1"/>
    <xf numFmtId="0" fontId="2" fillId="2" borderId="0" xfId="0" applyFont="1" applyFill="1"/>
    <xf numFmtId="0" fontId="2" fillId="4" borderId="4" xfId="0" applyFont="1" applyFill="1" applyBorder="1"/>
    <xf numFmtId="0" fontId="2" fillId="4" borderId="5" xfId="0" applyFont="1" applyFill="1" applyBorder="1"/>
    <xf numFmtId="164" fontId="2" fillId="4" borderId="4" xfId="1" applyNumberFormat="1" applyFont="1" applyFill="1" applyBorder="1"/>
    <xf numFmtId="0" fontId="6" fillId="4" borderId="4" xfId="0" applyFont="1" applyFill="1" applyBorder="1"/>
    <xf numFmtId="41" fontId="2" fillId="4" borderId="4" xfId="1" applyFont="1" applyFill="1" applyBorder="1"/>
    <xf numFmtId="0" fontId="6" fillId="4" borderId="7" xfId="0" applyFont="1" applyFill="1" applyBorder="1"/>
    <xf numFmtId="0" fontId="6" fillId="4" borderId="5" xfId="0" applyFont="1" applyFill="1" applyBorder="1"/>
    <xf numFmtId="43" fontId="9" fillId="4" borderId="5" xfId="0" applyNumberFormat="1" applyFont="1" applyFill="1" applyBorder="1"/>
    <xf numFmtId="164" fontId="3" fillId="0" borderId="8" xfId="1" applyNumberFormat="1" applyFont="1" applyBorder="1"/>
    <xf numFmtId="0" fontId="3" fillId="0" borderId="0" xfId="0" applyFont="1" applyAlignment="1">
      <alignment horizont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5" fillId="0" borderId="0" xfId="0" applyFont="1" applyAlignment="1">
      <alignment horizontal="center"/>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8" xfId="0" applyFont="1" applyBorder="1" applyAlignment="1">
      <alignment horizontal="left" vertical="top" wrapText="1"/>
    </xf>
    <xf numFmtId="0" fontId="2" fillId="0" borderId="18" xfId="0" applyFont="1" applyBorder="1" applyAlignment="1">
      <alignment horizontal="center"/>
    </xf>
    <xf numFmtId="0" fontId="2" fillId="0" borderId="19" xfId="0" applyFont="1" applyBorder="1" applyAlignment="1">
      <alignment horizontal="center"/>
    </xf>
    <xf numFmtId="0" fontId="6" fillId="0" borderId="11" xfId="0" applyFont="1" applyBorder="1" applyAlignment="1">
      <alignment horizontal="left" vertical="top" wrapText="1"/>
    </xf>
    <xf numFmtId="0" fontId="14" fillId="0" borderId="0" xfId="3" applyFont="1" applyAlignment="1">
      <alignment horizontal="center"/>
    </xf>
    <xf numFmtId="0" fontId="15" fillId="0" borderId="0" xfId="0" applyFont="1" applyAlignment="1">
      <alignment horizontal="center"/>
    </xf>
    <xf numFmtId="0" fontId="15" fillId="2" borderId="0" xfId="0" applyFont="1" applyFill="1" applyAlignment="1">
      <alignment horizontal="center"/>
    </xf>
    <xf numFmtId="0" fontId="11" fillId="0" borderId="0" xfId="0" applyFont="1" applyAlignment="1">
      <alignment horizontal="center"/>
    </xf>
    <xf numFmtId="0" fontId="11" fillId="2" borderId="0" xfId="0" applyFont="1" applyFill="1" applyAlignment="1">
      <alignment horizont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6" fillId="0" borderId="27" xfId="0" applyFont="1" applyBorder="1" applyAlignment="1">
      <alignment horizontal="lef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cellXfs>
  <cellStyles count="4">
    <cellStyle name="Comma" xfId="2" builtinId="3"/>
    <cellStyle name="Comma [0]" xfId="1" builtinId="6"/>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17"/>
  <sheetViews>
    <sheetView topLeftCell="A115" workbookViewId="0">
      <selection activeCell="A118" sqref="A118:XFD128"/>
    </sheetView>
  </sheetViews>
  <sheetFormatPr defaultColWidth="9.1796875" defaultRowHeight="14" x14ac:dyDescent="0.3"/>
  <cols>
    <col min="1" max="1" width="9.1796875" style="1"/>
    <col min="2" max="2" width="2.1796875" style="1" customWidth="1"/>
    <col min="3" max="3" width="18.81640625" style="1" bestFit="1" customWidth="1"/>
    <col min="4" max="4" width="13.54296875" style="1" customWidth="1"/>
    <col min="5" max="5" width="23.81640625" style="1" customWidth="1"/>
    <col min="6" max="6" width="7.54296875" style="1" bestFit="1" customWidth="1"/>
    <col min="7" max="7" width="8.81640625" style="1" customWidth="1"/>
    <col min="8" max="8" width="7.54296875" style="1" bestFit="1" customWidth="1"/>
    <col min="9" max="9" width="6.453125" style="1" bestFit="1" customWidth="1"/>
    <col min="10" max="10" width="6.81640625" style="1" bestFit="1" customWidth="1"/>
    <col min="11" max="11" width="10" style="1" bestFit="1" customWidth="1"/>
    <col min="12" max="12" width="5.54296875" style="1" bestFit="1" customWidth="1"/>
    <col min="13" max="13" width="6.81640625" style="1" bestFit="1" customWidth="1"/>
    <col min="14" max="14" width="2.1796875" style="1" customWidth="1"/>
    <col min="15" max="15" width="23.54296875" style="1" customWidth="1"/>
    <col min="16" max="16" width="13.7265625" style="1" customWidth="1"/>
    <col min="17" max="16384" width="9.1796875" style="1"/>
  </cols>
  <sheetData>
    <row r="1" spans="1:16" x14ac:dyDescent="0.3">
      <c r="A1" s="385" t="s">
        <v>0</v>
      </c>
      <c r="B1" s="385"/>
      <c r="C1" s="385"/>
      <c r="D1" s="385"/>
      <c r="E1" s="385"/>
      <c r="F1" s="385"/>
      <c r="G1" s="385"/>
      <c r="H1" s="385"/>
      <c r="I1" s="385"/>
      <c r="J1" s="385"/>
      <c r="K1" s="385"/>
      <c r="L1" s="385"/>
      <c r="M1" s="385"/>
      <c r="N1" s="385"/>
      <c r="O1" s="385"/>
      <c r="P1" s="385"/>
    </row>
    <row r="3" spans="1:16" x14ac:dyDescent="0.3">
      <c r="A3" s="1" t="s">
        <v>1</v>
      </c>
      <c r="B3" s="1" t="s">
        <v>78</v>
      </c>
      <c r="C3" s="1" t="s">
        <v>77</v>
      </c>
    </row>
    <row r="4" spans="1:16" x14ac:dyDescent="0.3">
      <c r="A4" s="1" t="s">
        <v>2</v>
      </c>
      <c r="B4" s="1" t="s">
        <v>78</v>
      </c>
      <c r="C4" s="4" t="s">
        <v>95</v>
      </c>
    </row>
    <row r="6" spans="1:16" x14ac:dyDescent="0.3">
      <c r="A6" s="386" t="s">
        <v>3</v>
      </c>
      <c r="B6" s="388" t="s">
        <v>4</v>
      </c>
      <c r="C6" s="388"/>
      <c r="D6" s="389" t="s">
        <v>6</v>
      </c>
      <c r="E6" s="391" t="s">
        <v>7</v>
      </c>
      <c r="F6" s="393" t="s">
        <v>8</v>
      </c>
      <c r="G6" s="393"/>
      <c r="H6" s="393"/>
      <c r="I6" s="393" t="s">
        <v>12</v>
      </c>
      <c r="J6" s="393"/>
      <c r="K6" s="393"/>
      <c r="L6" s="393"/>
      <c r="M6" s="393"/>
      <c r="N6" s="391" t="s">
        <v>17</v>
      </c>
      <c r="O6" s="391"/>
      <c r="P6" s="386" t="s">
        <v>18</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x14ac:dyDescent="0.3">
      <c r="A9" s="13">
        <v>1</v>
      </c>
      <c r="B9" s="14" t="s">
        <v>20</v>
      </c>
      <c r="C9" s="15"/>
      <c r="D9" s="16"/>
      <c r="E9" s="16"/>
      <c r="F9" s="16"/>
      <c r="G9" s="16"/>
      <c r="H9" s="16"/>
      <c r="I9" s="16"/>
      <c r="J9" s="16"/>
      <c r="K9" s="16"/>
      <c r="L9" s="16"/>
      <c r="M9" s="16"/>
      <c r="N9" s="14"/>
      <c r="O9" s="15"/>
      <c r="P9" s="16"/>
    </row>
    <row r="10" spans="1:16" x14ac:dyDescent="0.3">
      <c r="A10" s="13"/>
      <c r="B10" s="17" t="s">
        <v>57</v>
      </c>
      <c r="C10" s="15" t="s">
        <v>21</v>
      </c>
      <c r="D10" s="18">
        <v>406.56</v>
      </c>
      <c r="E10" s="16" t="s">
        <v>36</v>
      </c>
      <c r="F10" s="19">
        <v>0</v>
      </c>
      <c r="G10" s="19">
        <v>50</v>
      </c>
      <c r="H10" s="19">
        <f>SUM(F10:G10)</f>
        <v>50</v>
      </c>
      <c r="I10" s="19">
        <v>0</v>
      </c>
      <c r="J10" s="19">
        <v>10</v>
      </c>
      <c r="K10" s="19">
        <v>0</v>
      </c>
      <c r="L10" s="19">
        <v>10</v>
      </c>
      <c r="M10" s="20">
        <f>SUM(I10:L10)</f>
        <v>20</v>
      </c>
      <c r="N10" s="17" t="s">
        <v>51</v>
      </c>
      <c r="O10" s="15" t="s">
        <v>47</v>
      </c>
      <c r="P10" s="16"/>
    </row>
    <row r="11" spans="1:16" x14ac:dyDescent="0.3">
      <c r="A11" s="13"/>
      <c r="B11" s="14"/>
      <c r="C11" s="15"/>
      <c r="D11" s="18"/>
      <c r="E11" s="16" t="s">
        <v>37</v>
      </c>
      <c r="F11" s="19">
        <v>0</v>
      </c>
      <c r="G11" s="19">
        <v>325</v>
      </c>
      <c r="H11" s="19">
        <f t="shared" ref="H11:H17" si="0">SUM(F11:G11)</f>
        <v>325</v>
      </c>
      <c r="I11" s="19">
        <v>0</v>
      </c>
      <c r="J11" s="19">
        <v>0</v>
      </c>
      <c r="K11" s="19">
        <v>0</v>
      </c>
      <c r="L11" s="19">
        <v>0</v>
      </c>
      <c r="M11" s="20">
        <f t="shared" ref="M11:M17" si="1">SUM(I11:L11)</f>
        <v>0</v>
      </c>
      <c r="N11" s="17" t="s">
        <v>51</v>
      </c>
      <c r="O11" s="25" t="s">
        <v>50</v>
      </c>
      <c r="P11" s="16"/>
    </row>
    <row r="12" spans="1:16" x14ac:dyDescent="0.3">
      <c r="A12" s="13"/>
      <c r="B12" s="14"/>
      <c r="C12" s="15"/>
      <c r="D12" s="18"/>
      <c r="E12" s="16" t="s">
        <v>38</v>
      </c>
      <c r="F12" s="19">
        <v>0</v>
      </c>
      <c r="G12" s="19">
        <v>310</v>
      </c>
      <c r="H12" s="19">
        <f t="shared" si="0"/>
        <v>310</v>
      </c>
      <c r="I12" s="19">
        <v>0</v>
      </c>
      <c r="J12" s="19">
        <v>5</v>
      </c>
      <c r="K12" s="19">
        <v>0</v>
      </c>
      <c r="L12" s="19">
        <v>0</v>
      </c>
      <c r="M12" s="20">
        <f t="shared" si="1"/>
        <v>5</v>
      </c>
      <c r="N12" s="17" t="s">
        <v>51</v>
      </c>
      <c r="O12" s="15" t="s">
        <v>49</v>
      </c>
      <c r="P12" s="16"/>
    </row>
    <row r="13" spans="1:16" ht="28" x14ac:dyDescent="0.3">
      <c r="A13" s="13"/>
      <c r="B13" s="14"/>
      <c r="C13" s="15"/>
      <c r="D13" s="18"/>
      <c r="E13" s="21" t="s">
        <v>39</v>
      </c>
      <c r="F13" s="22">
        <v>50</v>
      </c>
      <c r="G13" s="22">
        <v>0</v>
      </c>
      <c r="H13" s="22">
        <f t="shared" si="0"/>
        <v>50</v>
      </c>
      <c r="I13" s="22">
        <v>0</v>
      </c>
      <c r="J13" s="22">
        <v>0</v>
      </c>
      <c r="K13" s="22">
        <v>0</v>
      </c>
      <c r="L13" s="22">
        <v>0</v>
      </c>
      <c r="M13" s="23">
        <f t="shared" si="1"/>
        <v>0</v>
      </c>
      <c r="N13" s="24" t="s">
        <v>51</v>
      </c>
      <c r="O13" s="31" t="s">
        <v>48</v>
      </c>
      <c r="P13" s="16"/>
    </row>
    <row r="14" spans="1:16" x14ac:dyDescent="0.3">
      <c r="A14" s="13"/>
      <c r="B14" s="17" t="s">
        <v>58</v>
      </c>
      <c r="C14" s="15" t="s">
        <v>22</v>
      </c>
      <c r="D14" s="18">
        <v>752.81</v>
      </c>
      <c r="E14" s="16" t="s">
        <v>36</v>
      </c>
      <c r="F14" s="19">
        <v>0</v>
      </c>
      <c r="G14" s="19">
        <v>50</v>
      </c>
      <c r="H14" s="19">
        <f t="shared" si="0"/>
        <v>50</v>
      </c>
      <c r="I14" s="19">
        <v>0</v>
      </c>
      <c r="J14" s="19">
        <v>0</v>
      </c>
      <c r="K14" s="19">
        <v>0</v>
      </c>
      <c r="L14" s="19">
        <v>0</v>
      </c>
      <c r="M14" s="20">
        <f t="shared" si="1"/>
        <v>0</v>
      </c>
      <c r="N14" s="14"/>
      <c r="P14" s="16"/>
    </row>
    <row r="15" spans="1:16" x14ac:dyDescent="0.3">
      <c r="A15" s="13"/>
      <c r="B15" s="14"/>
      <c r="C15" s="15"/>
      <c r="D15" s="26"/>
      <c r="E15" s="16" t="s">
        <v>37</v>
      </c>
      <c r="F15" s="19">
        <v>0</v>
      </c>
      <c r="G15" s="19">
        <v>406</v>
      </c>
      <c r="H15" s="19">
        <f t="shared" si="0"/>
        <v>406</v>
      </c>
      <c r="I15" s="19">
        <v>0</v>
      </c>
      <c r="J15" s="19">
        <v>0</v>
      </c>
      <c r="K15" s="19">
        <v>0</v>
      </c>
      <c r="L15" s="19">
        <v>0</v>
      </c>
      <c r="M15" s="20">
        <f t="shared" si="1"/>
        <v>0</v>
      </c>
      <c r="N15" s="14"/>
      <c r="O15" s="15"/>
      <c r="P15" s="16"/>
    </row>
    <row r="16" spans="1:16" x14ac:dyDescent="0.3">
      <c r="A16" s="13"/>
      <c r="B16" s="14"/>
      <c r="C16" s="15"/>
      <c r="D16" s="26"/>
      <c r="E16" s="16" t="s">
        <v>38</v>
      </c>
      <c r="F16" s="19">
        <v>0</v>
      </c>
      <c r="G16" s="19">
        <v>537</v>
      </c>
      <c r="H16" s="19">
        <f t="shared" si="0"/>
        <v>537</v>
      </c>
      <c r="I16" s="19">
        <v>0</v>
      </c>
      <c r="J16" s="19">
        <v>0</v>
      </c>
      <c r="K16" s="19">
        <v>0</v>
      </c>
      <c r="L16" s="19">
        <v>0</v>
      </c>
      <c r="M16" s="20">
        <f t="shared" si="1"/>
        <v>0</v>
      </c>
      <c r="N16" s="14"/>
      <c r="O16" s="15"/>
      <c r="P16" s="16"/>
    </row>
    <row r="17" spans="1:16" ht="28" x14ac:dyDescent="0.3">
      <c r="A17" s="13"/>
      <c r="B17" s="14"/>
      <c r="C17" s="15"/>
      <c r="D17" s="26"/>
      <c r="E17" s="27" t="s">
        <v>39</v>
      </c>
      <c r="F17" s="22">
        <v>45</v>
      </c>
      <c r="G17" s="22">
        <v>0</v>
      </c>
      <c r="H17" s="22">
        <f t="shared" si="0"/>
        <v>45</v>
      </c>
      <c r="I17" s="22">
        <v>0</v>
      </c>
      <c r="J17" s="22">
        <v>0</v>
      </c>
      <c r="K17" s="22">
        <v>0</v>
      </c>
      <c r="L17" s="22">
        <v>0</v>
      </c>
      <c r="M17" s="23">
        <f t="shared" si="1"/>
        <v>0</v>
      </c>
      <c r="N17" s="28"/>
      <c r="O17" s="25"/>
      <c r="P17" s="29"/>
    </row>
    <row r="18" spans="1:16" x14ac:dyDescent="0.3">
      <c r="A18" s="13"/>
      <c r="B18" s="14" t="s">
        <v>59</v>
      </c>
      <c r="C18" s="15" t="s">
        <v>42</v>
      </c>
      <c r="D18" s="26">
        <v>525.28</v>
      </c>
      <c r="E18" s="27"/>
      <c r="F18" s="22"/>
      <c r="G18" s="22"/>
      <c r="H18" s="22"/>
      <c r="I18" s="22"/>
      <c r="J18" s="22"/>
      <c r="K18" s="22"/>
      <c r="L18" s="22"/>
      <c r="M18" s="23"/>
      <c r="N18" s="28"/>
      <c r="O18" s="25"/>
      <c r="P18" s="29"/>
    </row>
    <row r="19" spans="1:16" x14ac:dyDescent="0.3">
      <c r="A19" s="13"/>
      <c r="B19" s="14" t="s">
        <v>60</v>
      </c>
      <c r="C19" s="15" t="s">
        <v>43</v>
      </c>
      <c r="D19" s="26">
        <v>213.2</v>
      </c>
      <c r="E19" s="27"/>
      <c r="F19" s="22"/>
      <c r="G19" s="22"/>
      <c r="H19" s="22"/>
      <c r="I19" s="22"/>
      <c r="J19" s="22"/>
      <c r="K19" s="22"/>
      <c r="L19" s="22"/>
      <c r="M19" s="23"/>
      <c r="N19" s="28"/>
      <c r="O19" s="25"/>
      <c r="P19" s="29"/>
    </row>
    <row r="20" spans="1:16" x14ac:dyDescent="0.3">
      <c r="A20" s="13"/>
      <c r="B20" s="14" t="s">
        <v>61</v>
      </c>
      <c r="C20" s="15" t="s">
        <v>44</v>
      </c>
      <c r="D20" s="26">
        <v>107.2</v>
      </c>
      <c r="E20" s="27"/>
      <c r="F20" s="22"/>
      <c r="G20" s="22"/>
      <c r="H20" s="22"/>
      <c r="I20" s="22"/>
      <c r="J20" s="22"/>
      <c r="K20" s="22"/>
      <c r="L20" s="22"/>
      <c r="M20" s="23"/>
      <c r="N20" s="28"/>
      <c r="O20" s="25"/>
      <c r="P20" s="29"/>
    </row>
    <row r="21" spans="1:16" x14ac:dyDescent="0.3">
      <c r="A21" s="13"/>
      <c r="B21" s="14" t="s">
        <v>62</v>
      </c>
      <c r="C21" s="15" t="s">
        <v>33</v>
      </c>
      <c r="D21" s="26">
        <v>12</v>
      </c>
      <c r="E21" s="27"/>
      <c r="F21" s="22"/>
      <c r="G21" s="22"/>
      <c r="H21" s="22"/>
      <c r="I21" s="22"/>
      <c r="J21" s="22"/>
      <c r="K21" s="22"/>
      <c r="L21" s="22"/>
      <c r="M21" s="23"/>
      <c r="N21" s="28"/>
      <c r="O21" s="25"/>
      <c r="P21" s="29"/>
    </row>
    <row r="22" spans="1:16" x14ac:dyDescent="0.3">
      <c r="A22" s="13"/>
      <c r="B22" s="14" t="s">
        <v>63</v>
      </c>
      <c r="C22" s="15" t="s">
        <v>32</v>
      </c>
      <c r="D22" s="26">
        <v>21.5</v>
      </c>
      <c r="E22" s="27"/>
      <c r="F22" s="22"/>
      <c r="G22" s="22"/>
      <c r="H22" s="22"/>
      <c r="I22" s="22"/>
      <c r="J22" s="22"/>
      <c r="K22" s="22"/>
      <c r="L22" s="22"/>
      <c r="M22" s="23"/>
      <c r="N22" s="28"/>
      <c r="O22" s="25"/>
      <c r="P22" s="29"/>
    </row>
    <row r="23" spans="1:16" x14ac:dyDescent="0.3">
      <c r="A23" s="13"/>
      <c r="B23" s="14" t="s">
        <v>64</v>
      </c>
      <c r="C23" s="15" t="s">
        <v>30</v>
      </c>
      <c r="D23" s="26">
        <v>5</v>
      </c>
      <c r="E23" s="27"/>
      <c r="F23" s="22"/>
      <c r="G23" s="22"/>
      <c r="H23" s="22"/>
      <c r="I23" s="22"/>
      <c r="J23" s="22"/>
      <c r="K23" s="22"/>
      <c r="L23" s="22"/>
      <c r="M23" s="23"/>
      <c r="N23" s="28"/>
      <c r="O23" s="25"/>
      <c r="P23" s="29"/>
    </row>
    <row r="24" spans="1:16" x14ac:dyDescent="0.3">
      <c r="A24" s="13"/>
      <c r="B24" s="14" t="s">
        <v>65</v>
      </c>
      <c r="C24" s="15" t="s">
        <v>115</v>
      </c>
      <c r="D24" s="26">
        <v>21</v>
      </c>
      <c r="E24" s="27"/>
      <c r="F24" s="22"/>
      <c r="G24" s="22"/>
      <c r="H24" s="22"/>
      <c r="I24" s="22"/>
      <c r="J24" s="22"/>
      <c r="K24" s="22"/>
      <c r="L24" s="22"/>
      <c r="M24" s="23"/>
      <c r="N24" s="28"/>
      <c r="O24" s="25"/>
      <c r="P24" s="29"/>
    </row>
    <row r="25" spans="1:16" x14ac:dyDescent="0.3">
      <c r="A25" s="13"/>
      <c r="B25" s="14" t="s">
        <v>66</v>
      </c>
      <c r="C25" s="15" t="s">
        <v>27</v>
      </c>
      <c r="D25" s="26">
        <v>88.7</v>
      </c>
      <c r="E25" s="27"/>
      <c r="F25" s="22"/>
      <c r="G25" s="22"/>
      <c r="H25" s="22"/>
      <c r="I25" s="22"/>
      <c r="J25" s="22"/>
      <c r="K25" s="22"/>
      <c r="L25" s="22"/>
      <c r="M25" s="23"/>
      <c r="N25" s="28"/>
      <c r="O25" s="25"/>
      <c r="P25" s="29"/>
    </row>
    <row r="26" spans="1:16" x14ac:dyDescent="0.3">
      <c r="A26" s="13"/>
      <c r="B26" s="14"/>
      <c r="C26" s="15"/>
      <c r="D26" s="33">
        <f>SUM(D10:D25)</f>
        <v>2153.25</v>
      </c>
      <c r="E26" s="16"/>
      <c r="F26" s="16"/>
      <c r="G26" s="16"/>
      <c r="H26" s="20"/>
      <c r="I26" s="16"/>
      <c r="J26" s="16"/>
      <c r="K26" s="16"/>
      <c r="L26" s="16"/>
      <c r="M26" s="16"/>
      <c r="N26" s="14"/>
      <c r="O26" s="15"/>
      <c r="P26" s="16"/>
    </row>
    <row r="27" spans="1:16" x14ac:dyDescent="0.3">
      <c r="A27" s="13">
        <v>2</v>
      </c>
      <c r="B27" s="14" t="s">
        <v>23</v>
      </c>
      <c r="C27" s="15"/>
      <c r="D27" s="26"/>
      <c r="E27" s="16"/>
      <c r="F27" s="16"/>
      <c r="G27" s="16"/>
      <c r="H27" s="16"/>
      <c r="I27" s="16"/>
      <c r="J27" s="16"/>
      <c r="K27" s="16"/>
      <c r="L27" s="16"/>
      <c r="M27" s="16"/>
      <c r="N27" s="14"/>
      <c r="O27" s="15"/>
      <c r="P27" s="16"/>
    </row>
    <row r="28" spans="1:16" x14ac:dyDescent="0.3">
      <c r="A28" s="13"/>
      <c r="B28" s="14" t="s">
        <v>57</v>
      </c>
      <c r="C28" s="15" t="s">
        <v>22</v>
      </c>
      <c r="D28" s="26">
        <v>198</v>
      </c>
      <c r="E28" s="16" t="s">
        <v>40</v>
      </c>
      <c r="F28" s="19">
        <v>0</v>
      </c>
      <c r="G28" s="19">
        <v>158</v>
      </c>
      <c r="H28" s="19">
        <f t="shared" ref="H28:H29" si="2">SUM(F28:G28)</f>
        <v>158</v>
      </c>
      <c r="I28" s="19">
        <v>0</v>
      </c>
      <c r="J28" s="19">
        <v>10</v>
      </c>
      <c r="K28" s="19">
        <v>0</v>
      </c>
      <c r="L28" s="19">
        <v>0</v>
      </c>
      <c r="M28" s="20">
        <f t="shared" ref="M28:M29" si="3">SUM(I28:L28)</f>
        <v>10</v>
      </c>
      <c r="N28" s="17" t="s">
        <v>51</v>
      </c>
      <c r="O28" s="396" t="s">
        <v>54</v>
      </c>
      <c r="P28" s="16"/>
    </row>
    <row r="29" spans="1:16" x14ac:dyDescent="0.3">
      <c r="A29" s="13"/>
      <c r="B29" s="14"/>
      <c r="C29" s="15"/>
      <c r="D29" s="26"/>
      <c r="E29" s="16" t="s">
        <v>41</v>
      </c>
      <c r="F29" s="19">
        <v>20</v>
      </c>
      <c r="G29" s="19">
        <v>0</v>
      </c>
      <c r="H29" s="19">
        <f t="shared" si="2"/>
        <v>20</v>
      </c>
      <c r="I29" s="19">
        <v>0</v>
      </c>
      <c r="J29" s="19">
        <v>0</v>
      </c>
      <c r="K29" s="19">
        <v>0</v>
      </c>
      <c r="L29" s="19">
        <v>0</v>
      </c>
      <c r="M29" s="20">
        <f t="shared" si="3"/>
        <v>0</v>
      </c>
      <c r="N29" s="14"/>
      <c r="O29" s="397"/>
      <c r="P29" s="16"/>
    </row>
    <row r="30" spans="1:16" x14ac:dyDescent="0.3">
      <c r="A30" s="13"/>
      <c r="B30" s="14" t="s">
        <v>58</v>
      </c>
      <c r="C30" s="15" t="s">
        <v>42</v>
      </c>
      <c r="D30" s="26">
        <v>23.5</v>
      </c>
      <c r="E30" s="16"/>
      <c r="F30" s="19"/>
      <c r="G30" s="19"/>
      <c r="H30" s="19"/>
      <c r="I30" s="19"/>
      <c r="J30" s="19"/>
      <c r="K30" s="19"/>
      <c r="L30" s="19"/>
      <c r="M30" s="20"/>
      <c r="N30" s="14"/>
      <c r="O30" s="32"/>
      <c r="P30" s="16"/>
    </row>
    <row r="31" spans="1:16" x14ac:dyDescent="0.3">
      <c r="A31" s="13"/>
      <c r="B31" s="14" t="s">
        <v>59</v>
      </c>
      <c r="C31" s="15" t="s">
        <v>21</v>
      </c>
      <c r="D31" s="26">
        <v>66.94</v>
      </c>
      <c r="E31" s="16"/>
      <c r="F31" s="19"/>
      <c r="G31" s="19"/>
      <c r="H31" s="19"/>
      <c r="I31" s="19"/>
      <c r="J31" s="19"/>
      <c r="K31" s="19"/>
      <c r="L31" s="19"/>
      <c r="M31" s="20"/>
      <c r="N31" s="14"/>
      <c r="O31" s="32"/>
      <c r="P31" s="16"/>
    </row>
    <row r="32" spans="1:16" x14ac:dyDescent="0.3">
      <c r="A32" s="13"/>
      <c r="B32" s="14" t="s">
        <v>60</v>
      </c>
      <c r="C32" s="15" t="s">
        <v>44</v>
      </c>
      <c r="D32" s="26">
        <v>10.23</v>
      </c>
      <c r="E32" s="16"/>
      <c r="F32" s="19"/>
      <c r="G32" s="19"/>
      <c r="H32" s="19"/>
      <c r="I32" s="19"/>
      <c r="J32" s="19"/>
      <c r="K32" s="19"/>
      <c r="L32" s="19"/>
      <c r="M32" s="20"/>
      <c r="N32" s="14"/>
      <c r="O32" s="32"/>
      <c r="P32" s="16"/>
    </row>
    <row r="33" spans="1:16" x14ac:dyDescent="0.3">
      <c r="A33" s="13"/>
      <c r="B33" s="14" t="s">
        <v>61</v>
      </c>
      <c r="C33" s="15" t="s">
        <v>33</v>
      </c>
      <c r="D33" s="26">
        <v>8.5</v>
      </c>
      <c r="E33" s="16"/>
      <c r="F33" s="19"/>
      <c r="G33" s="19"/>
      <c r="H33" s="19"/>
      <c r="I33" s="19"/>
      <c r="J33" s="19"/>
      <c r="K33" s="19"/>
      <c r="L33" s="19"/>
      <c r="M33" s="20"/>
      <c r="N33" s="14"/>
      <c r="O33" s="32"/>
      <c r="P33" s="16"/>
    </row>
    <row r="34" spans="1:16" x14ac:dyDescent="0.3">
      <c r="A34" s="13"/>
      <c r="B34" s="14" t="s">
        <v>62</v>
      </c>
      <c r="C34" s="15" t="s">
        <v>32</v>
      </c>
      <c r="D34" s="26">
        <v>2</v>
      </c>
      <c r="E34" s="16"/>
      <c r="F34" s="19"/>
      <c r="G34" s="19"/>
      <c r="H34" s="19"/>
      <c r="I34" s="19"/>
      <c r="J34" s="19"/>
      <c r="K34" s="19"/>
      <c r="L34" s="19"/>
      <c r="M34" s="20"/>
      <c r="N34" s="14"/>
      <c r="O34" s="32"/>
      <c r="P34" s="16"/>
    </row>
    <row r="35" spans="1:16" x14ac:dyDescent="0.3">
      <c r="A35" s="13"/>
      <c r="B35" s="14" t="s">
        <v>63</v>
      </c>
      <c r="C35" s="15" t="s">
        <v>31</v>
      </c>
      <c r="D35" s="26">
        <v>3.5</v>
      </c>
      <c r="E35" s="16"/>
      <c r="F35" s="19"/>
      <c r="G35" s="19"/>
      <c r="H35" s="19"/>
      <c r="I35" s="19"/>
      <c r="J35" s="19"/>
      <c r="K35" s="19"/>
      <c r="L35" s="19"/>
      <c r="M35" s="20"/>
      <c r="N35" s="14"/>
      <c r="O35" s="32"/>
      <c r="P35" s="16"/>
    </row>
    <row r="36" spans="1:16" x14ac:dyDescent="0.3">
      <c r="A36" s="13"/>
      <c r="B36" s="14"/>
      <c r="C36" s="15"/>
      <c r="D36" s="33">
        <f>SUM(D28:D35)</f>
        <v>312.67</v>
      </c>
      <c r="E36" s="16"/>
      <c r="F36" s="19"/>
      <c r="G36" s="19"/>
      <c r="H36" s="19"/>
      <c r="I36" s="19"/>
      <c r="J36" s="19"/>
      <c r="K36" s="19"/>
      <c r="L36" s="19"/>
      <c r="M36" s="20"/>
      <c r="N36" s="14"/>
      <c r="O36" s="32"/>
      <c r="P36" s="16"/>
    </row>
    <row r="37" spans="1:16" x14ac:dyDescent="0.3">
      <c r="A37" s="13"/>
      <c r="B37" s="14"/>
      <c r="C37" s="15"/>
      <c r="D37" s="26"/>
      <c r="E37" s="16"/>
      <c r="F37" s="19"/>
      <c r="G37" s="19"/>
      <c r="H37" s="19"/>
      <c r="I37" s="19"/>
      <c r="J37" s="19"/>
      <c r="K37" s="19"/>
      <c r="L37" s="19"/>
      <c r="M37" s="19"/>
      <c r="N37" s="14"/>
      <c r="O37" s="15"/>
      <c r="P37" s="16"/>
    </row>
    <row r="38" spans="1:16" x14ac:dyDescent="0.3">
      <c r="A38" s="13">
        <v>3</v>
      </c>
      <c r="B38" s="14" t="s">
        <v>19</v>
      </c>
      <c r="C38" s="15"/>
      <c r="D38" s="26"/>
      <c r="E38" s="16"/>
      <c r="F38" s="19"/>
      <c r="G38" s="19"/>
      <c r="H38" s="19"/>
      <c r="I38" s="19"/>
      <c r="J38" s="19"/>
      <c r="K38" s="19"/>
      <c r="L38" s="19"/>
      <c r="M38" s="19"/>
      <c r="N38" s="14"/>
      <c r="O38" s="15"/>
      <c r="P38" s="16"/>
    </row>
    <row r="39" spans="1:16" x14ac:dyDescent="0.3">
      <c r="A39" s="13"/>
      <c r="B39" s="14" t="s">
        <v>57</v>
      </c>
      <c r="C39" s="15" t="s">
        <v>22</v>
      </c>
      <c r="D39" s="26">
        <f>1146+100</f>
        <v>1246</v>
      </c>
      <c r="E39" s="30" t="s">
        <v>52</v>
      </c>
      <c r="F39" s="19">
        <v>0</v>
      </c>
      <c r="G39" s="26">
        <v>137.22</v>
      </c>
      <c r="H39" s="26">
        <f>SUM(F39:G39)</f>
        <v>137.22</v>
      </c>
      <c r="I39" s="19">
        <v>0</v>
      </c>
      <c r="J39" s="19">
        <v>0</v>
      </c>
      <c r="K39" s="19">
        <v>0</v>
      </c>
      <c r="L39" s="19">
        <v>0</v>
      </c>
      <c r="M39" s="19">
        <f>SUM(I39:L39)</f>
        <v>0</v>
      </c>
      <c r="N39" s="14"/>
      <c r="O39" s="15"/>
      <c r="P39" s="16"/>
    </row>
    <row r="40" spans="1:16" x14ac:dyDescent="0.3">
      <c r="A40" s="13"/>
      <c r="B40" s="14" t="s">
        <v>58</v>
      </c>
      <c r="C40" s="15" t="s">
        <v>42</v>
      </c>
      <c r="D40" s="26">
        <f>773.1+303.8</f>
        <v>1076.9000000000001</v>
      </c>
      <c r="E40" s="30" t="s">
        <v>52</v>
      </c>
      <c r="F40" s="19">
        <v>0</v>
      </c>
      <c r="G40" s="26">
        <v>99.52</v>
      </c>
      <c r="H40" s="26">
        <f t="shared" ref="H40:H58" si="4">SUM(F40:G40)</f>
        <v>99.52</v>
      </c>
      <c r="I40" s="19">
        <v>0</v>
      </c>
      <c r="J40" s="19">
        <v>0</v>
      </c>
      <c r="K40" s="19">
        <v>0</v>
      </c>
      <c r="L40" s="19">
        <v>0</v>
      </c>
      <c r="M40" s="19">
        <f t="shared" ref="M40:M58" si="5">SUM(I40:L40)</f>
        <v>0</v>
      </c>
      <c r="N40" s="14"/>
      <c r="O40" s="15"/>
      <c r="P40" s="16"/>
    </row>
    <row r="41" spans="1:16" x14ac:dyDescent="0.3">
      <c r="A41" s="13"/>
      <c r="B41" s="14" t="s">
        <v>59</v>
      </c>
      <c r="C41" s="15" t="s">
        <v>21</v>
      </c>
      <c r="D41" s="26">
        <f>1880+114</f>
        <v>1994</v>
      </c>
      <c r="E41" s="30" t="s">
        <v>52</v>
      </c>
      <c r="F41" s="19">
        <v>0</v>
      </c>
      <c r="G41" s="26">
        <v>72.650000000000006</v>
      </c>
      <c r="H41" s="26">
        <f t="shared" si="4"/>
        <v>72.650000000000006</v>
      </c>
      <c r="I41" s="19">
        <v>0</v>
      </c>
      <c r="J41" s="19">
        <v>0</v>
      </c>
      <c r="K41" s="19">
        <v>0</v>
      </c>
      <c r="L41" s="19">
        <v>0</v>
      </c>
      <c r="M41" s="19">
        <f t="shared" si="5"/>
        <v>0</v>
      </c>
      <c r="N41" s="14"/>
      <c r="O41" s="15"/>
      <c r="P41" s="16"/>
    </row>
    <row r="42" spans="1:16" x14ac:dyDescent="0.3">
      <c r="A42" s="13"/>
      <c r="B42" s="14" t="s">
        <v>60</v>
      </c>
      <c r="C42" s="15" t="s">
        <v>98</v>
      </c>
      <c r="D42" s="26">
        <f>1189+216.6</f>
        <v>1405.6</v>
      </c>
      <c r="E42" s="30" t="s">
        <v>52</v>
      </c>
      <c r="F42" s="19">
        <v>0</v>
      </c>
      <c r="G42" s="26">
        <v>95</v>
      </c>
      <c r="H42" s="26">
        <f t="shared" si="4"/>
        <v>95</v>
      </c>
      <c r="I42" s="19">
        <v>0</v>
      </c>
      <c r="J42" s="19">
        <v>0</v>
      </c>
      <c r="K42" s="19">
        <v>0</v>
      </c>
      <c r="L42" s="19">
        <v>0</v>
      </c>
      <c r="M42" s="19">
        <f t="shared" si="5"/>
        <v>0</v>
      </c>
      <c r="N42" s="14"/>
      <c r="O42" s="15"/>
      <c r="P42" s="16"/>
    </row>
    <row r="43" spans="1:16" x14ac:dyDescent="0.3">
      <c r="A43" s="13"/>
      <c r="B43" s="14" t="s">
        <v>61</v>
      </c>
      <c r="C43" s="15" t="s">
        <v>99</v>
      </c>
      <c r="D43" s="26">
        <f>1396.6+127</f>
        <v>1523.6</v>
      </c>
      <c r="E43" s="30" t="s">
        <v>52</v>
      </c>
      <c r="F43" s="19">
        <v>0</v>
      </c>
      <c r="G43" s="26">
        <v>90</v>
      </c>
      <c r="H43" s="26">
        <f t="shared" si="4"/>
        <v>90</v>
      </c>
      <c r="I43" s="19">
        <v>0</v>
      </c>
      <c r="J43" s="19">
        <v>0</v>
      </c>
      <c r="K43" s="19">
        <v>0</v>
      </c>
      <c r="L43" s="19">
        <v>0</v>
      </c>
      <c r="M43" s="19">
        <f t="shared" si="5"/>
        <v>0</v>
      </c>
      <c r="N43" s="14"/>
      <c r="O43" s="15"/>
      <c r="P43" s="16"/>
    </row>
    <row r="44" spans="1:16" x14ac:dyDescent="0.3">
      <c r="A44" s="13"/>
      <c r="B44" s="14" t="s">
        <v>62</v>
      </c>
      <c r="C44" s="15" t="s">
        <v>100</v>
      </c>
      <c r="D44" s="26">
        <f>1704.1+362</f>
        <v>2066.1</v>
      </c>
      <c r="E44" s="30" t="s">
        <v>52</v>
      </c>
      <c r="F44" s="19">
        <v>0</v>
      </c>
      <c r="G44" s="26">
        <v>87</v>
      </c>
      <c r="H44" s="26">
        <f t="shared" si="4"/>
        <v>87</v>
      </c>
      <c r="I44" s="19">
        <v>0</v>
      </c>
      <c r="J44" s="19">
        <v>0</v>
      </c>
      <c r="K44" s="19">
        <v>0</v>
      </c>
      <c r="L44" s="19">
        <v>0</v>
      </c>
      <c r="M44" s="19">
        <f t="shared" si="5"/>
        <v>0</v>
      </c>
      <c r="N44" s="14"/>
      <c r="O44" s="15"/>
      <c r="P44" s="16"/>
    </row>
    <row r="45" spans="1:16" x14ac:dyDescent="0.3">
      <c r="A45" s="13"/>
      <c r="B45" s="14" t="s">
        <v>64</v>
      </c>
      <c r="C45" s="15" t="s">
        <v>33</v>
      </c>
      <c r="D45" s="26">
        <f>1304+57.5</f>
        <v>1361.5</v>
      </c>
      <c r="E45" s="30" t="s">
        <v>52</v>
      </c>
      <c r="F45" s="19">
        <v>0</v>
      </c>
      <c r="G45" s="26">
        <v>9.5</v>
      </c>
      <c r="H45" s="26">
        <f t="shared" si="4"/>
        <v>9.5</v>
      </c>
      <c r="I45" s="19">
        <v>0</v>
      </c>
      <c r="J45" s="19">
        <v>0</v>
      </c>
      <c r="K45" s="19">
        <v>0</v>
      </c>
      <c r="L45" s="19">
        <v>0</v>
      </c>
      <c r="M45" s="19">
        <f t="shared" si="5"/>
        <v>0</v>
      </c>
      <c r="N45" s="14"/>
      <c r="O45" s="15"/>
      <c r="P45" s="16"/>
    </row>
    <row r="46" spans="1:16" x14ac:dyDescent="0.3">
      <c r="A46" s="13"/>
      <c r="B46" s="14" t="s">
        <v>65</v>
      </c>
      <c r="C46" s="15" t="s">
        <v>32</v>
      </c>
      <c r="D46" s="26">
        <f>997.4+79.5</f>
        <v>1076.9000000000001</v>
      </c>
      <c r="E46" s="30" t="s">
        <v>52</v>
      </c>
      <c r="F46" s="19">
        <v>0</v>
      </c>
      <c r="G46" s="26">
        <v>150</v>
      </c>
      <c r="H46" s="26">
        <f t="shared" si="4"/>
        <v>150</v>
      </c>
      <c r="I46" s="19">
        <v>0</v>
      </c>
      <c r="J46" s="19">
        <v>0</v>
      </c>
      <c r="K46" s="19">
        <v>0</v>
      </c>
      <c r="L46" s="19">
        <v>0</v>
      </c>
      <c r="M46" s="19">
        <f t="shared" si="5"/>
        <v>0</v>
      </c>
      <c r="N46" s="14"/>
      <c r="O46" s="15"/>
      <c r="P46" s="16"/>
    </row>
    <row r="47" spans="1:16" x14ac:dyDescent="0.3">
      <c r="A47" s="13"/>
      <c r="B47" s="14" t="s">
        <v>66</v>
      </c>
      <c r="C47" s="15" t="s">
        <v>35</v>
      </c>
      <c r="D47" s="26">
        <f>1557+181.5</f>
        <v>1738.5</v>
      </c>
      <c r="E47" s="30" t="s">
        <v>52</v>
      </c>
      <c r="F47" s="19">
        <v>0</v>
      </c>
      <c r="G47" s="26">
        <v>151</v>
      </c>
      <c r="H47" s="26">
        <f t="shared" si="4"/>
        <v>151</v>
      </c>
      <c r="I47" s="19">
        <v>0</v>
      </c>
      <c r="J47" s="19">
        <v>0</v>
      </c>
      <c r="K47" s="19">
        <v>0</v>
      </c>
      <c r="L47" s="19">
        <v>0</v>
      </c>
      <c r="M47" s="19">
        <f t="shared" si="5"/>
        <v>0</v>
      </c>
      <c r="N47" s="14"/>
      <c r="O47" s="15"/>
      <c r="P47" s="16"/>
    </row>
    <row r="48" spans="1:16" x14ac:dyDescent="0.3">
      <c r="A48" s="13"/>
      <c r="B48" s="14" t="s">
        <v>67</v>
      </c>
      <c r="C48" s="15" t="s">
        <v>101</v>
      </c>
      <c r="D48" s="26">
        <f>1499.3+567.7</f>
        <v>2067</v>
      </c>
      <c r="E48" s="30" t="s">
        <v>52</v>
      </c>
      <c r="F48" s="19">
        <v>0</v>
      </c>
      <c r="G48" s="26">
        <v>99.5</v>
      </c>
      <c r="H48" s="26">
        <f t="shared" si="4"/>
        <v>99.5</v>
      </c>
      <c r="I48" s="19">
        <v>0</v>
      </c>
      <c r="J48" s="19">
        <v>0</v>
      </c>
      <c r="K48" s="19">
        <v>0</v>
      </c>
      <c r="L48" s="19">
        <v>0</v>
      </c>
      <c r="M48" s="19">
        <f t="shared" si="5"/>
        <v>0</v>
      </c>
      <c r="N48" s="14"/>
      <c r="O48" s="15"/>
      <c r="P48" s="16"/>
    </row>
    <row r="49" spans="1:16" x14ac:dyDescent="0.3">
      <c r="A49" s="13"/>
      <c r="B49" s="14" t="s">
        <v>68</v>
      </c>
      <c r="C49" s="15" t="s">
        <v>31</v>
      </c>
      <c r="D49" s="26">
        <f>1520+279.5</f>
        <v>1799.5</v>
      </c>
      <c r="E49" s="30" t="s">
        <v>52</v>
      </c>
      <c r="F49" s="19">
        <v>0</v>
      </c>
      <c r="G49" s="26">
        <v>129</v>
      </c>
      <c r="H49" s="26">
        <f t="shared" si="4"/>
        <v>129</v>
      </c>
      <c r="I49" s="19">
        <v>0</v>
      </c>
      <c r="J49" s="19">
        <v>0</v>
      </c>
      <c r="K49" s="19">
        <v>0</v>
      </c>
      <c r="L49" s="19">
        <v>0</v>
      </c>
      <c r="M49" s="19">
        <f t="shared" si="5"/>
        <v>0</v>
      </c>
      <c r="N49" s="14"/>
      <c r="O49" s="15"/>
      <c r="P49" s="16"/>
    </row>
    <row r="50" spans="1:16" x14ac:dyDescent="0.3">
      <c r="A50" s="13"/>
      <c r="B50" s="14" t="s">
        <v>69</v>
      </c>
      <c r="C50" s="15" t="s">
        <v>102</v>
      </c>
      <c r="D50" s="26">
        <f>1516+278.5</f>
        <v>1794.5</v>
      </c>
      <c r="E50" s="30" t="s">
        <v>52</v>
      </c>
      <c r="F50" s="19">
        <v>0</v>
      </c>
      <c r="G50" s="26">
        <v>170</v>
      </c>
      <c r="H50" s="26">
        <f t="shared" si="4"/>
        <v>170</v>
      </c>
      <c r="I50" s="19">
        <v>0</v>
      </c>
      <c r="J50" s="19">
        <v>0</v>
      </c>
      <c r="K50" s="19">
        <v>0</v>
      </c>
      <c r="L50" s="19">
        <v>0</v>
      </c>
      <c r="M50" s="19">
        <f t="shared" si="5"/>
        <v>0</v>
      </c>
      <c r="N50" s="14"/>
      <c r="O50" s="15"/>
      <c r="P50" s="16"/>
    </row>
    <row r="51" spans="1:16" x14ac:dyDescent="0.3">
      <c r="A51" s="13"/>
      <c r="B51" s="14" t="s">
        <v>70</v>
      </c>
      <c r="C51" s="15" t="s">
        <v>28</v>
      </c>
      <c r="D51" s="26">
        <f>868+618.6</f>
        <v>1486.6</v>
      </c>
      <c r="E51" s="30" t="s">
        <v>52</v>
      </c>
      <c r="F51" s="19">
        <v>0</v>
      </c>
      <c r="G51" s="26">
        <v>154</v>
      </c>
      <c r="H51" s="26">
        <f t="shared" si="4"/>
        <v>154</v>
      </c>
      <c r="I51" s="19">
        <v>0</v>
      </c>
      <c r="J51" s="19">
        <v>0</v>
      </c>
      <c r="K51" s="19">
        <v>0</v>
      </c>
      <c r="L51" s="19">
        <v>0</v>
      </c>
      <c r="M51" s="19">
        <f t="shared" si="5"/>
        <v>0</v>
      </c>
      <c r="N51" s="14"/>
      <c r="O51" s="15"/>
      <c r="P51" s="16"/>
    </row>
    <row r="52" spans="1:16" x14ac:dyDescent="0.3">
      <c r="A52" s="13"/>
      <c r="B52" s="14" t="s">
        <v>71</v>
      </c>
      <c r="C52" s="15" t="s">
        <v>25</v>
      </c>
      <c r="D52" s="26">
        <f>994.7+363.2</f>
        <v>1357.9</v>
      </c>
      <c r="E52" s="30" t="s">
        <v>52</v>
      </c>
      <c r="F52" s="19">
        <v>0</v>
      </c>
      <c r="G52" s="26">
        <v>165</v>
      </c>
      <c r="H52" s="26">
        <f t="shared" si="4"/>
        <v>165</v>
      </c>
      <c r="I52" s="19">
        <v>0</v>
      </c>
      <c r="J52" s="19">
        <v>0</v>
      </c>
      <c r="K52" s="19">
        <v>0</v>
      </c>
      <c r="L52" s="19">
        <v>0</v>
      </c>
      <c r="M52" s="19">
        <f t="shared" si="5"/>
        <v>0</v>
      </c>
      <c r="N52" s="14"/>
      <c r="O52" s="15"/>
      <c r="P52" s="16"/>
    </row>
    <row r="53" spans="1:16" x14ac:dyDescent="0.3">
      <c r="A53" s="13"/>
      <c r="B53" s="14" t="s">
        <v>72</v>
      </c>
      <c r="C53" s="15" t="s">
        <v>24</v>
      </c>
      <c r="D53" s="26">
        <f>1372.4+494.2</f>
        <v>1866.6000000000001</v>
      </c>
      <c r="E53" s="30" t="s">
        <v>52</v>
      </c>
      <c r="F53" s="19">
        <v>0</v>
      </c>
      <c r="G53" s="26">
        <v>75</v>
      </c>
      <c r="H53" s="26">
        <f t="shared" si="4"/>
        <v>75</v>
      </c>
      <c r="I53" s="19">
        <v>0</v>
      </c>
      <c r="J53" s="19">
        <v>0</v>
      </c>
      <c r="K53" s="19">
        <v>0</v>
      </c>
      <c r="L53" s="19">
        <v>0</v>
      </c>
      <c r="M53" s="19">
        <f t="shared" si="5"/>
        <v>0</v>
      </c>
      <c r="N53" s="14"/>
      <c r="O53" s="15"/>
      <c r="P53" s="16"/>
    </row>
    <row r="54" spans="1:16" x14ac:dyDescent="0.3">
      <c r="A54" s="13"/>
      <c r="B54" s="14"/>
      <c r="C54" s="15"/>
      <c r="D54" s="26"/>
      <c r="E54" s="16" t="s">
        <v>45</v>
      </c>
      <c r="F54" s="19">
        <v>0</v>
      </c>
      <c r="G54" s="26">
        <v>65</v>
      </c>
      <c r="H54" s="26">
        <f t="shared" si="4"/>
        <v>65</v>
      </c>
      <c r="I54" s="19">
        <v>0</v>
      </c>
      <c r="J54" s="19">
        <v>0</v>
      </c>
      <c r="K54" s="19">
        <v>0</v>
      </c>
      <c r="L54" s="19">
        <v>0</v>
      </c>
      <c r="M54" s="19">
        <f t="shared" si="5"/>
        <v>0</v>
      </c>
      <c r="N54" s="14"/>
      <c r="O54" s="15"/>
      <c r="P54" s="16"/>
    </row>
    <row r="55" spans="1:16" x14ac:dyDescent="0.3">
      <c r="A55" s="13"/>
      <c r="B55" s="14" t="s">
        <v>73</v>
      </c>
      <c r="C55" s="15" t="s">
        <v>26</v>
      </c>
      <c r="D55" s="26">
        <f>896.5+338</f>
        <v>1234.5</v>
      </c>
      <c r="E55" s="30" t="s">
        <v>52</v>
      </c>
      <c r="F55" s="19">
        <v>0</v>
      </c>
      <c r="G55" s="26">
        <v>114</v>
      </c>
      <c r="H55" s="26">
        <f t="shared" si="4"/>
        <v>114</v>
      </c>
      <c r="I55" s="19">
        <v>0</v>
      </c>
      <c r="J55" s="19">
        <v>0</v>
      </c>
      <c r="K55" s="19">
        <v>0</v>
      </c>
      <c r="L55" s="19">
        <v>0</v>
      </c>
      <c r="M55" s="19">
        <f t="shared" si="5"/>
        <v>0</v>
      </c>
      <c r="N55" s="14"/>
      <c r="O55" s="15"/>
      <c r="P55" s="16"/>
    </row>
    <row r="56" spans="1:16" x14ac:dyDescent="0.3">
      <c r="A56" s="13"/>
      <c r="B56" s="14"/>
      <c r="C56" s="15"/>
      <c r="D56" s="26"/>
      <c r="E56" s="16" t="s">
        <v>45</v>
      </c>
      <c r="F56" s="19">
        <v>0</v>
      </c>
      <c r="G56" s="26">
        <v>55</v>
      </c>
      <c r="H56" s="26">
        <f t="shared" si="4"/>
        <v>55</v>
      </c>
      <c r="I56" s="19">
        <v>0</v>
      </c>
      <c r="J56" s="19">
        <v>0</v>
      </c>
      <c r="K56" s="19">
        <v>0</v>
      </c>
      <c r="L56" s="19">
        <v>0</v>
      </c>
      <c r="M56" s="19">
        <f t="shared" si="5"/>
        <v>0</v>
      </c>
      <c r="N56" s="14"/>
      <c r="O56" s="15"/>
      <c r="P56" s="16"/>
    </row>
    <row r="57" spans="1:16" x14ac:dyDescent="0.3">
      <c r="A57" s="13"/>
      <c r="B57" s="14" t="s">
        <v>74</v>
      </c>
      <c r="C57" s="15" t="s">
        <v>55</v>
      </c>
      <c r="D57" s="26">
        <f>975.3+500.5</f>
        <v>1475.8</v>
      </c>
      <c r="E57" s="30" t="s">
        <v>52</v>
      </c>
      <c r="F57" s="19">
        <v>0</v>
      </c>
      <c r="G57" s="26">
        <v>115</v>
      </c>
      <c r="H57" s="26">
        <f t="shared" si="4"/>
        <v>115</v>
      </c>
      <c r="I57" s="19">
        <v>0</v>
      </c>
      <c r="J57" s="19">
        <v>0</v>
      </c>
      <c r="K57" s="19">
        <v>0</v>
      </c>
      <c r="L57" s="19">
        <v>0</v>
      </c>
      <c r="M57" s="19">
        <f t="shared" si="5"/>
        <v>0</v>
      </c>
      <c r="N57" s="14"/>
      <c r="O57" s="15"/>
      <c r="P57" s="16"/>
    </row>
    <row r="58" spans="1:16" x14ac:dyDescent="0.3">
      <c r="A58" s="13"/>
      <c r="B58" s="14" t="s">
        <v>75</v>
      </c>
      <c r="C58" s="15" t="s">
        <v>103</v>
      </c>
      <c r="D58" s="26">
        <f>134.8+5</f>
        <v>139.80000000000001</v>
      </c>
      <c r="E58" s="30" t="s">
        <v>52</v>
      </c>
      <c r="F58" s="19">
        <v>0</v>
      </c>
      <c r="G58" s="26">
        <v>136</v>
      </c>
      <c r="H58" s="26">
        <f t="shared" si="4"/>
        <v>136</v>
      </c>
      <c r="I58" s="19">
        <v>0</v>
      </c>
      <c r="J58" s="19">
        <v>0</v>
      </c>
      <c r="K58" s="19">
        <v>0</v>
      </c>
      <c r="L58" s="19">
        <v>0</v>
      </c>
      <c r="M58" s="19">
        <f t="shared" si="5"/>
        <v>0</v>
      </c>
      <c r="N58" s="14"/>
      <c r="O58" s="15"/>
      <c r="P58" s="16"/>
    </row>
    <row r="59" spans="1:16" x14ac:dyDescent="0.3">
      <c r="A59" s="13"/>
      <c r="B59" s="14" t="s">
        <v>104</v>
      </c>
      <c r="C59" s="15" t="s">
        <v>105</v>
      </c>
      <c r="D59" s="26">
        <f>153.8+8.7</f>
        <v>162.5</v>
      </c>
      <c r="E59" s="30"/>
      <c r="F59" s="19"/>
      <c r="G59" s="26"/>
      <c r="H59" s="26"/>
      <c r="I59" s="19"/>
      <c r="J59" s="19"/>
      <c r="K59" s="19"/>
      <c r="L59" s="19"/>
      <c r="M59" s="19"/>
      <c r="N59" s="14"/>
      <c r="O59" s="15"/>
      <c r="P59" s="16"/>
    </row>
    <row r="60" spans="1:16" x14ac:dyDescent="0.3">
      <c r="A60" s="13"/>
      <c r="B60" s="14" t="s">
        <v>106</v>
      </c>
      <c r="C60" s="15" t="s">
        <v>107</v>
      </c>
      <c r="D60" s="26">
        <f>831.5+161.25</f>
        <v>992.75</v>
      </c>
      <c r="E60" s="30"/>
      <c r="F60" s="19"/>
      <c r="G60" s="26"/>
      <c r="H60" s="26"/>
      <c r="I60" s="19"/>
      <c r="J60" s="19"/>
      <c r="K60" s="19"/>
      <c r="L60" s="19"/>
      <c r="M60" s="19"/>
      <c r="N60" s="14"/>
      <c r="O60" s="15"/>
      <c r="P60" s="16"/>
    </row>
    <row r="61" spans="1:16" x14ac:dyDescent="0.3">
      <c r="A61" s="13"/>
      <c r="B61" s="14" t="s">
        <v>108</v>
      </c>
      <c r="C61" s="15" t="s">
        <v>56</v>
      </c>
      <c r="D61" s="26">
        <f>109.6+21.2</f>
        <v>130.79999999999998</v>
      </c>
      <c r="E61" s="30"/>
      <c r="F61" s="19"/>
      <c r="G61" s="26"/>
      <c r="H61" s="26"/>
      <c r="I61" s="19"/>
      <c r="J61" s="19"/>
      <c r="K61" s="19"/>
      <c r="L61" s="19"/>
      <c r="M61" s="19"/>
      <c r="N61" s="14"/>
      <c r="O61" s="15"/>
      <c r="P61" s="16"/>
    </row>
    <row r="62" spans="1:16" x14ac:dyDescent="0.3">
      <c r="A62" s="13"/>
      <c r="B62" s="14" t="s">
        <v>109</v>
      </c>
      <c r="C62" s="15" t="s">
        <v>110</v>
      </c>
      <c r="D62" s="26">
        <f>695+48.2</f>
        <v>743.2</v>
      </c>
      <c r="E62" s="30"/>
      <c r="F62" s="19"/>
      <c r="G62" s="26"/>
      <c r="H62" s="26"/>
      <c r="I62" s="19"/>
      <c r="J62" s="19"/>
      <c r="K62" s="19"/>
      <c r="L62" s="19"/>
      <c r="M62" s="19"/>
      <c r="N62" s="14"/>
      <c r="O62" s="15"/>
      <c r="P62" s="16"/>
    </row>
    <row r="63" spans="1:16" x14ac:dyDescent="0.3">
      <c r="A63" s="13"/>
      <c r="B63" s="14" t="s">
        <v>111</v>
      </c>
      <c r="C63" s="15" t="s">
        <v>112</v>
      </c>
      <c r="D63" s="26">
        <f>375+14</f>
        <v>389</v>
      </c>
      <c r="E63" s="30"/>
      <c r="F63" s="19"/>
      <c r="G63" s="26"/>
      <c r="H63" s="26"/>
      <c r="I63" s="19"/>
      <c r="J63" s="19"/>
      <c r="K63" s="19"/>
      <c r="L63" s="19"/>
      <c r="M63" s="19"/>
      <c r="N63" s="14"/>
      <c r="O63" s="15"/>
      <c r="P63" s="16"/>
    </row>
    <row r="64" spans="1:16" x14ac:dyDescent="0.3">
      <c r="A64" s="13"/>
      <c r="B64" s="14" t="s">
        <v>113</v>
      </c>
      <c r="C64" s="15" t="s">
        <v>114</v>
      </c>
      <c r="D64" s="16">
        <f>73.5</f>
        <v>73.5</v>
      </c>
      <c r="E64" s="16"/>
      <c r="F64" s="19"/>
      <c r="G64" s="19"/>
      <c r="H64" s="19"/>
      <c r="I64" s="19"/>
      <c r="J64" s="19"/>
      <c r="K64" s="19"/>
      <c r="L64" s="19"/>
      <c r="M64" s="19"/>
      <c r="N64" s="14"/>
      <c r="O64" s="15"/>
      <c r="P64" s="16"/>
    </row>
    <row r="65" spans="1:16" x14ac:dyDescent="0.3">
      <c r="A65" s="13"/>
      <c r="B65" s="14"/>
      <c r="C65" s="15"/>
      <c r="D65" s="34">
        <f>SUM(D39:D64)</f>
        <v>29203.049999999996</v>
      </c>
      <c r="E65" s="16"/>
      <c r="F65" s="19"/>
      <c r="G65" s="19"/>
      <c r="H65" s="19"/>
      <c r="I65" s="19"/>
      <c r="J65" s="19"/>
      <c r="K65" s="19"/>
      <c r="L65" s="19"/>
      <c r="M65" s="19"/>
      <c r="N65" s="14"/>
      <c r="O65" s="15"/>
      <c r="P65" s="16"/>
    </row>
    <row r="66" spans="1:16" x14ac:dyDescent="0.3">
      <c r="A66" s="13">
        <v>4</v>
      </c>
      <c r="B66" s="14" t="s">
        <v>46</v>
      </c>
      <c r="C66" s="15"/>
      <c r="D66" s="26"/>
      <c r="E66" s="16"/>
      <c r="F66" s="19"/>
      <c r="G66" s="19"/>
      <c r="H66" s="19"/>
      <c r="I66" s="19"/>
      <c r="J66" s="19"/>
      <c r="K66" s="19"/>
      <c r="L66" s="19"/>
      <c r="M66" s="19"/>
      <c r="N66" s="14"/>
      <c r="O66" s="15"/>
      <c r="P66" s="16"/>
    </row>
    <row r="67" spans="1:16" x14ac:dyDescent="0.3">
      <c r="A67" s="13"/>
      <c r="B67" s="14" t="s">
        <v>57</v>
      </c>
      <c r="C67" s="15" t="s">
        <v>22</v>
      </c>
      <c r="D67" s="26">
        <v>1228.55</v>
      </c>
      <c r="E67" s="16" t="s">
        <v>76</v>
      </c>
      <c r="F67" s="26">
        <v>15</v>
      </c>
      <c r="G67" s="19">
        <v>0</v>
      </c>
      <c r="H67" s="26">
        <f>SUM(F67:G67)</f>
        <v>15</v>
      </c>
      <c r="I67" s="19">
        <v>0</v>
      </c>
      <c r="J67" s="19">
        <v>0</v>
      </c>
      <c r="K67" s="19">
        <v>0</v>
      </c>
      <c r="L67" s="19">
        <v>0</v>
      </c>
      <c r="M67" s="19">
        <f>SUM(I67:L67)</f>
        <v>0</v>
      </c>
      <c r="N67" s="14"/>
      <c r="O67" s="15" t="s">
        <v>93</v>
      </c>
      <c r="P67" s="16"/>
    </row>
    <row r="68" spans="1:16" x14ac:dyDescent="0.3">
      <c r="A68" s="13"/>
      <c r="B68" s="14" t="s">
        <v>58</v>
      </c>
      <c r="C68" s="15" t="s">
        <v>42</v>
      </c>
      <c r="D68" s="26">
        <v>885.18</v>
      </c>
      <c r="E68" s="16" t="s">
        <v>53</v>
      </c>
      <c r="F68" s="26">
        <v>15</v>
      </c>
      <c r="G68" s="19">
        <v>0</v>
      </c>
      <c r="H68" s="26">
        <f t="shared" ref="H68:H72" si="6">SUM(F68:G68)</f>
        <v>15</v>
      </c>
      <c r="I68" s="19">
        <v>0</v>
      </c>
      <c r="J68" s="19">
        <v>0</v>
      </c>
      <c r="K68" s="19">
        <v>0</v>
      </c>
      <c r="L68" s="19">
        <v>0</v>
      </c>
      <c r="M68" s="19">
        <f t="shared" ref="M68:M72" si="7">SUM(I68:L68)</f>
        <v>0</v>
      </c>
      <c r="N68" s="14"/>
      <c r="O68" s="15" t="s">
        <v>94</v>
      </c>
      <c r="P68" s="16"/>
    </row>
    <row r="69" spans="1:16" x14ac:dyDescent="0.3">
      <c r="A69" s="13"/>
      <c r="B69" s="14" t="s">
        <v>59</v>
      </c>
      <c r="C69" s="15" t="s">
        <v>21</v>
      </c>
      <c r="D69" s="26">
        <v>934.55</v>
      </c>
      <c r="E69" s="16"/>
      <c r="F69" s="26">
        <v>75</v>
      </c>
      <c r="G69" s="19">
        <v>0</v>
      </c>
      <c r="H69" s="26">
        <f t="shared" si="6"/>
        <v>75</v>
      </c>
      <c r="I69" s="19">
        <v>0</v>
      </c>
      <c r="J69" s="19">
        <v>5</v>
      </c>
      <c r="K69" s="19">
        <v>0</v>
      </c>
      <c r="L69" s="19">
        <v>0</v>
      </c>
      <c r="M69" s="19">
        <f t="shared" si="7"/>
        <v>5</v>
      </c>
      <c r="N69" s="14"/>
      <c r="O69" s="15"/>
      <c r="P69" s="16"/>
    </row>
    <row r="70" spans="1:16" x14ac:dyDescent="0.3">
      <c r="A70" s="13"/>
      <c r="B70" s="14" t="s">
        <v>60</v>
      </c>
      <c r="C70" s="15" t="s">
        <v>43</v>
      </c>
      <c r="D70" s="26">
        <v>133</v>
      </c>
      <c r="E70" s="16"/>
      <c r="F70" s="26">
        <v>100</v>
      </c>
      <c r="G70" s="19">
        <v>0</v>
      </c>
      <c r="H70" s="26">
        <f t="shared" si="6"/>
        <v>100</v>
      </c>
      <c r="I70" s="19">
        <v>0</v>
      </c>
      <c r="J70" s="19">
        <v>5</v>
      </c>
      <c r="K70" s="19">
        <v>0</v>
      </c>
      <c r="L70" s="19">
        <v>0</v>
      </c>
      <c r="M70" s="19">
        <f t="shared" si="7"/>
        <v>5</v>
      </c>
      <c r="N70" s="14"/>
      <c r="O70" s="15"/>
      <c r="P70" s="16"/>
    </row>
    <row r="71" spans="1:16" x14ac:dyDescent="0.3">
      <c r="A71" s="16"/>
      <c r="B71" s="14" t="s">
        <v>61</v>
      </c>
      <c r="C71" s="15" t="s">
        <v>44</v>
      </c>
      <c r="D71" s="26">
        <v>274.64999999999998</v>
      </c>
      <c r="E71" s="16"/>
      <c r="F71" s="26">
        <v>103</v>
      </c>
      <c r="G71" s="19">
        <v>0</v>
      </c>
      <c r="H71" s="26">
        <f t="shared" si="6"/>
        <v>103</v>
      </c>
      <c r="I71" s="19">
        <v>0</v>
      </c>
      <c r="J71" s="19">
        <v>5</v>
      </c>
      <c r="K71" s="19">
        <v>0</v>
      </c>
      <c r="L71" s="19">
        <v>0</v>
      </c>
      <c r="M71" s="19">
        <f t="shared" si="7"/>
        <v>5</v>
      </c>
      <c r="N71" s="14"/>
      <c r="O71" s="15"/>
      <c r="P71" s="16"/>
    </row>
    <row r="72" spans="1:16" x14ac:dyDescent="0.3">
      <c r="A72" s="16"/>
      <c r="B72" s="14" t="s">
        <v>62</v>
      </c>
      <c r="C72" s="15" t="s">
        <v>33</v>
      </c>
      <c r="D72" s="26">
        <v>319.25</v>
      </c>
      <c r="E72" s="16"/>
      <c r="F72" s="26">
        <f t="shared" ref="F72" si="8">10/100*D72</f>
        <v>31.925000000000001</v>
      </c>
      <c r="G72" s="19">
        <v>0</v>
      </c>
      <c r="H72" s="26">
        <f t="shared" si="6"/>
        <v>31.925000000000001</v>
      </c>
      <c r="I72" s="19">
        <v>0</v>
      </c>
      <c r="J72" s="19">
        <v>0</v>
      </c>
      <c r="K72" s="19">
        <v>0</v>
      </c>
      <c r="L72" s="19">
        <v>0</v>
      </c>
      <c r="M72" s="19">
        <f t="shared" si="7"/>
        <v>0</v>
      </c>
      <c r="N72" s="14"/>
      <c r="O72" s="15"/>
      <c r="P72" s="16"/>
    </row>
    <row r="73" spans="1:16" x14ac:dyDescent="0.3">
      <c r="A73" s="16"/>
      <c r="B73" s="14">
        <v>9</v>
      </c>
      <c r="C73" s="15" t="s">
        <v>32</v>
      </c>
      <c r="D73" s="26">
        <v>178.5</v>
      </c>
      <c r="E73" s="16"/>
      <c r="F73" s="26"/>
      <c r="G73" s="19"/>
      <c r="H73" s="26"/>
      <c r="I73" s="19"/>
      <c r="J73" s="19"/>
      <c r="K73" s="19"/>
      <c r="L73" s="19"/>
      <c r="M73" s="19"/>
      <c r="N73" s="14"/>
      <c r="O73" s="15"/>
      <c r="P73" s="16"/>
    </row>
    <row r="74" spans="1:16" x14ac:dyDescent="0.3">
      <c r="A74" s="16"/>
      <c r="B74" s="14" t="s">
        <v>64</v>
      </c>
      <c r="C74" s="15" t="s">
        <v>35</v>
      </c>
      <c r="D74" s="26">
        <v>1.2</v>
      </c>
      <c r="E74" s="16"/>
      <c r="F74" s="26"/>
      <c r="G74" s="19"/>
      <c r="H74" s="26"/>
      <c r="I74" s="19"/>
      <c r="J74" s="19"/>
      <c r="K74" s="19"/>
      <c r="L74" s="19"/>
      <c r="M74" s="19"/>
      <c r="N74" s="14"/>
      <c r="O74" s="15"/>
      <c r="P74" s="16"/>
    </row>
    <row r="75" spans="1:16" x14ac:dyDescent="0.3">
      <c r="A75" s="16"/>
      <c r="B75" s="14" t="s">
        <v>65</v>
      </c>
      <c r="C75" s="15" t="s">
        <v>30</v>
      </c>
      <c r="D75" s="26">
        <v>125</v>
      </c>
      <c r="E75" s="16"/>
      <c r="F75" s="26"/>
      <c r="G75" s="19"/>
      <c r="H75" s="26"/>
      <c r="I75" s="19"/>
      <c r="J75" s="19"/>
      <c r="K75" s="19"/>
      <c r="L75" s="19"/>
      <c r="M75" s="19"/>
      <c r="N75" s="14"/>
      <c r="O75" s="15"/>
      <c r="P75" s="16"/>
    </row>
    <row r="76" spans="1:16" x14ac:dyDescent="0.3">
      <c r="A76" s="16"/>
      <c r="B76" s="14" t="s">
        <v>66</v>
      </c>
      <c r="C76" s="15" t="s">
        <v>31</v>
      </c>
      <c r="D76" s="26">
        <v>75</v>
      </c>
      <c r="E76" s="16"/>
      <c r="F76" s="26"/>
      <c r="G76" s="19"/>
      <c r="H76" s="26"/>
      <c r="I76" s="19"/>
      <c r="J76" s="19"/>
      <c r="K76" s="19"/>
      <c r="L76" s="19"/>
      <c r="M76" s="19"/>
      <c r="N76" s="14"/>
      <c r="O76" s="15"/>
      <c r="P76" s="16"/>
    </row>
    <row r="77" spans="1:16" x14ac:dyDescent="0.3">
      <c r="A77" s="16"/>
      <c r="B77" s="14" t="s">
        <v>67</v>
      </c>
      <c r="C77" s="15" t="s">
        <v>29</v>
      </c>
      <c r="D77" s="26">
        <v>175</v>
      </c>
      <c r="E77" s="16"/>
      <c r="F77" s="26"/>
      <c r="G77" s="19"/>
      <c r="H77" s="26"/>
      <c r="I77" s="19"/>
      <c r="J77" s="19"/>
      <c r="K77" s="19"/>
      <c r="L77" s="19"/>
      <c r="M77" s="19"/>
      <c r="N77" s="14"/>
      <c r="O77" s="15"/>
      <c r="P77" s="16"/>
    </row>
    <row r="78" spans="1:16" x14ac:dyDescent="0.3">
      <c r="A78" s="16"/>
      <c r="B78" s="14" t="s">
        <v>68</v>
      </c>
      <c r="C78" s="15" t="s">
        <v>28</v>
      </c>
      <c r="D78" s="26">
        <v>439</v>
      </c>
      <c r="E78" s="16"/>
      <c r="F78" s="26"/>
      <c r="G78" s="19"/>
      <c r="H78" s="26"/>
      <c r="I78" s="19"/>
      <c r="J78" s="19"/>
      <c r="K78" s="19"/>
      <c r="L78" s="19"/>
      <c r="M78" s="19"/>
      <c r="N78" s="14"/>
      <c r="O78" s="15"/>
      <c r="P78" s="16"/>
    </row>
    <row r="79" spans="1:16" x14ac:dyDescent="0.3">
      <c r="A79" s="16"/>
      <c r="B79" s="14" t="s">
        <v>69</v>
      </c>
      <c r="C79" s="15" t="s">
        <v>97</v>
      </c>
      <c r="D79" s="26">
        <v>5</v>
      </c>
      <c r="E79" s="16"/>
      <c r="F79" s="26"/>
      <c r="G79" s="19"/>
      <c r="H79" s="26"/>
      <c r="I79" s="19"/>
      <c r="J79" s="19"/>
      <c r="K79" s="19"/>
      <c r="L79" s="19"/>
      <c r="M79" s="19"/>
      <c r="N79" s="14"/>
      <c r="O79" s="15"/>
      <c r="P79" s="16"/>
    </row>
    <row r="80" spans="1:16" x14ac:dyDescent="0.3">
      <c r="A80" s="16"/>
      <c r="B80" s="14"/>
      <c r="C80" s="15"/>
      <c r="D80" s="33">
        <f>SUM(D67:D79)</f>
        <v>4773.8799999999992</v>
      </c>
      <c r="E80" s="16"/>
      <c r="F80" s="26"/>
      <c r="G80" s="19"/>
      <c r="H80" s="26"/>
      <c r="I80" s="19"/>
      <c r="J80" s="19"/>
      <c r="K80" s="19"/>
      <c r="L80" s="19"/>
      <c r="M80" s="19"/>
      <c r="N80" s="14"/>
      <c r="O80" s="15"/>
      <c r="P80" s="16"/>
    </row>
    <row r="81" spans="1:16" x14ac:dyDescent="0.3">
      <c r="A81" s="13">
        <v>5</v>
      </c>
      <c r="B81" s="14" t="s">
        <v>96</v>
      </c>
      <c r="C81" s="15"/>
      <c r="D81" s="26"/>
      <c r="E81" s="16"/>
      <c r="F81" s="26"/>
      <c r="G81" s="19"/>
      <c r="H81" s="26"/>
      <c r="I81" s="19"/>
      <c r="J81" s="19"/>
      <c r="K81" s="19"/>
      <c r="L81" s="19"/>
      <c r="M81" s="19"/>
      <c r="N81" s="14"/>
      <c r="O81" s="15"/>
      <c r="P81" s="16"/>
    </row>
    <row r="82" spans="1:16" x14ac:dyDescent="0.3">
      <c r="A82" s="16"/>
      <c r="B82" s="14" t="s">
        <v>57</v>
      </c>
      <c r="C82" s="15" t="s">
        <v>22</v>
      </c>
      <c r="D82" s="26">
        <v>9.5</v>
      </c>
      <c r="E82" s="16"/>
      <c r="F82" s="26">
        <v>15</v>
      </c>
      <c r="G82" s="19">
        <v>0</v>
      </c>
      <c r="H82" s="26">
        <f>SUM(F82:G82)</f>
        <v>15</v>
      </c>
      <c r="I82" s="19">
        <v>0</v>
      </c>
      <c r="J82" s="19">
        <v>0</v>
      </c>
      <c r="K82" s="19">
        <v>0</v>
      </c>
      <c r="L82" s="19">
        <v>0</v>
      </c>
      <c r="M82" s="19">
        <f>SUM(I82:L82)</f>
        <v>0</v>
      </c>
      <c r="N82" s="14"/>
      <c r="O82" s="15"/>
      <c r="P82" s="16"/>
    </row>
    <row r="83" spans="1:16" x14ac:dyDescent="0.3">
      <c r="A83" s="16"/>
      <c r="B83" s="14" t="s">
        <v>58</v>
      </c>
      <c r="C83" s="15" t="s">
        <v>21</v>
      </c>
      <c r="D83" s="26">
        <v>17.11</v>
      </c>
      <c r="E83" s="16"/>
      <c r="F83" s="26">
        <v>15</v>
      </c>
      <c r="G83" s="19">
        <v>0</v>
      </c>
      <c r="H83" s="26">
        <f t="shared" ref="H83:H87" si="9">SUM(F83:G83)</f>
        <v>15</v>
      </c>
      <c r="I83" s="19">
        <v>0</v>
      </c>
      <c r="J83" s="19">
        <v>0</v>
      </c>
      <c r="K83" s="19">
        <v>0</v>
      </c>
      <c r="L83" s="19">
        <v>0</v>
      </c>
      <c r="M83" s="19">
        <f t="shared" ref="M83:M87" si="10">SUM(I83:L83)</f>
        <v>0</v>
      </c>
      <c r="N83" s="14"/>
      <c r="O83" s="15"/>
      <c r="P83" s="16"/>
    </row>
    <row r="84" spans="1:16" x14ac:dyDescent="0.3">
      <c r="A84" s="16"/>
      <c r="B84" s="14" t="s">
        <v>59</v>
      </c>
      <c r="C84" s="15" t="s">
        <v>43</v>
      </c>
      <c r="D84" s="26">
        <v>17.79</v>
      </c>
      <c r="E84" s="16"/>
      <c r="F84" s="26">
        <v>75</v>
      </c>
      <c r="G84" s="19">
        <v>0</v>
      </c>
      <c r="H84" s="26">
        <f t="shared" si="9"/>
        <v>75</v>
      </c>
      <c r="I84" s="19">
        <v>0</v>
      </c>
      <c r="J84" s="19">
        <v>5</v>
      </c>
      <c r="K84" s="19">
        <v>0</v>
      </c>
      <c r="L84" s="19">
        <v>0</v>
      </c>
      <c r="M84" s="19">
        <f t="shared" si="10"/>
        <v>5</v>
      </c>
      <c r="N84" s="14"/>
      <c r="O84" s="15"/>
      <c r="P84" s="16"/>
    </row>
    <row r="85" spans="1:16" x14ac:dyDescent="0.3">
      <c r="A85" s="16"/>
      <c r="B85" s="14" t="s">
        <v>60</v>
      </c>
      <c r="C85" s="15" t="s">
        <v>44</v>
      </c>
      <c r="D85" s="26">
        <v>30.5</v>
      </c>
      <c r="E85" s="16"/>
      <c r="F85" s="26">
        <v>100</v>
      </c>
      <c r="G85" s="19">
        <v>0</v>
      </c>
      <c r="H85" s="26">
        <f t="shared" si="9"/>
        <v>100</v>
      </c>
      <c r="I85" s="19">
        <v>0</v>
      </c>
      <c r="J85" s="19">
        <v>5</v>
      </c>
      <c r="K85" s="19">
        <v>0</v>
      </c>
      <c r="L85" s="19">
        <v>0</v>
      </c>
      <c r="M85" s="19">
        <f t="shared" si="10"/>
        <v>5</v>
      </c>
      <c r="N85" s="14"/>
      <c r="O85" s="15"/>
      <c r="P85" s="16"/>
    </row>
    <row r="86" spans="1:16" x14ac:dyDescent="0.3">
      <c r="A86" s="16"/>
      <c r="B86" s="14" t="s">
        <v>61</v>
      </c>
      <c r="C86" s="15" t="s">
        <v>33</v>
      </c>
      <c r="D86" s="26">
        <v>5.2</v>
      </c>
      <c r="E86" s="16"/>
      <c r="F86" s="26">
        <v>103</v>
      </c>
      <c r="G86" s="19">
        <v>0</v>
      </c>
      <c r="H86" s="26">
        <f t="shared" si="9"/>
        <v>103</v>
      </c>
      <c r="I86" s="19">
        <v>0</v>
      </c>
      <c r="J86" s="19">
        <v>5</v>
      </c>
      <c r="K86" s="19">
        <v>0</v>
      </c>
      <c r="L86" s="19">
        <v>0</v>
      </c>
      <c r="M86" s="19">
        <f t="shared" si="10"/>
        <v>5</v>
      </c>
      <c r="N86" s="14"/>
      <c r="O86" s="15"/>
      <c r="P86" s="16"/>
    </row>
    <row r="87" spans="1:16" x14ac:dyDescent="0.3">
      <c r="A87" s="16"/>
      <c r="B87" s="14" t="s">
        <v>62</v>
      </c>
      <c r="C87" s="15" t="s">
        <v>32</v>
      </c>
      <c r="D87" s="26">
        <v>0.25</v>
      </c>
      <c r="E87" s="16"/>
      <c r="F87" s="26">
        <f t="shared" ref="F87" si="11">10/100*D87</f>
        <v>2.5000000000000001E-2</v>
      </c>
      <c r="G87" s="19">
        <v>0</v>
      </c>
      <c r="H87" s="26">
        <f t="shared" si="9"/>
        <v>2.5000000000000001E-2</v>
      </c>
      <c r="I87" s="19">
        <v>0</v>
      </c>
      <c r="J87" s="19">
        <v>0</v>
      </c>
      <c r="K87" s="19">
        <v>0</v>
      </c>
      <c r="L87" s="19">
        <v>0</v>
      </c>
      <c r="M87" s="19">
        <f t="shared" si="10"/>
        <v>0</v>
      </c>
      <c r="N87" s="14"/>
      <c r="O87" s="15"/>
      <c r="P87" s="16"/>
    </row>
    <row r="88" spans="1:16" x14ac:dyDescent="0.3">
      <c r="A88" s="16"/>
      <c r="B88" s="14">
        <v>9</v>
      </c>
      <c r="C88" s="15" t="s">
        <v>30</v>
      </c>
      <c r="D88" s="26">
        <v>9.5</v>
      </c>
      <c r="E88" s="16"/>
      <c r="F88" s="26"/>
      <c r="G88" s="19"/>
      <c r="H88" s="26"/>
      <c r="I88" s="19"/>
      <c r="J88" s="19"/>
      <c r="K88" s="19"/>
      <c r="L88" s="19"/>
      <c r="M88" s="19"/>
      <c r="N88" s="14"/>
      <c r="O88" s="15"/>
      <c r="P88" s="16"/>
    </row>
    <row r="89" spans="1:16" x14ac:dyDescent="0.3">
      <c r="A89" s="16"/>
      <c r="B89" s="14" t="s">
        <v>64</v>
      </c>
      <c r="C89" s="15" t="s">
        <v>31</v>
      </c>
      <c r="D89" s="26">
        <v>4</v>
      </c>
      <c r="E89" s="16"/>
      <c r="F89" s="26"/>
      <c r="G89" s="19"/>
      <c r="H89" s="26"/>
      <c r="I89" s="19"/>
      <c r="J89" s="19"/>
      <c r="K89" s="19"/>
      <c r="L89" s="19"/>
      <c r="M89" s="19"/>
      <c r="N89" s="14"/>
      <c r="O89" s="15"/>
      <c r="P89" s="16"/>
    </row>
    <row r="90" spans="1:16" x14ac:dyDescent="0.3">
      <c r="A90" s="16"/>
      <c r="B90" s="14" t="s">
        <v>65</v>
      </c>
      <c r="C90" s="15" t="s">
        <v>28</v>
      </c>
      <c r="D90" s="26">
        <v>1</v>
      </c>
      <c r="E90" s="16"/>
      <c r="F90" s="26"/>
      <c r="G90" s="19"/>
      <c r="H90" s="26"/>
      <c r="I90" s="19"/>
      <c r="J90" s="19"/>
      <c r="K90" s="19"/>
      <c r="L90" s="19"/>
      <c r="M90" s="19"/>
      <c r="N90" s="14"/>
      <c r="O90" s="15"/>
      <c r="P90" s="16"/>
    </row>
    <row r="91" spans="1:16" x14ac:dyDescent="0.3">
      <c r="A91" s="16"/>
      <c r="B91" s="14" t="s">
        <v>66</v>
      </c>
      <c r="C91" s="15" t="s">
        <v>27</v>
      </c>
      <c r="D91" s="26">
        <v>3.3</v>
      </c>
      <c r="E91" s="16"/>
      <c r="F91" s="26"/>
      <c r="G91" s="19"/>
      <c r="H91" s="26"/>
      <c r="I91" s="19"/>
      <c r="J91" s="19"/>
      <c r="K91" s="19"/>
      <c r="L91" s="19"/>
      <c r="M91" s="19"/>
      <c r="N91" s="14"/>
      <c r="O91" s="15"/>
      <c r="P91" s="16"/>
    </row>
    <row r="92" spans="1:16" x14ac:dyDescent="0.3">
      <c r="A92" s="16"/>
      <c r="B92" s="14"/>
      <c r="C92" s="15"/>
      <c r="D92" s="33">
        <f>SUM(D82:D91)</f>
        <v>98.15</v>
      </c>
      <c r="E92" s="16"/>
      <c r="F92" s="26"/>
      <c r="G92" s="19"/>
      <c r="H92" s="26"/>
      <c r="I92" s="19"/>
      <c r="J92" s="19"/>
      <c r="K92" s="19"/>
      <c r="L92" s="19"/>
      <c r="M92" s="19"/>
      <c r="N92" s="14"/>
      <c r="O92" s="15"/>
      <c r="P92" s="16"/>
    </row>
    <row r="93" spans="1:16" x14ac:dyDescent="0.3">
      <c r="A93" s="16"/>
      <c r="B93" s="14"/>
      <c r="C93" s="15"/>
      <c r="D93" s="33"/>
      <c r="E93" s="16"/>
      <c r="F93" s="26"/>
      <c r="G93" s="19"/>
      <c r="H93" s="26"/>
      <c r="I93" s="19"/>
      <c r="J93" s="19"/>
      <c r="K93" s="19"/>
      <c r="L93" s="19"/>
      <c r="M93" s="19"/>
      <c r="N93" s="14"/>
      <c r="O93" s="15"/>
      <c r="P93" s="16"/>
    </row>
    <row r="94" spans="1:16" x14ac:dyDescent="0.3">
      <c r="A94" s="16">
        <v>6</v>
      </c>
      <c r="B94" s="14" t="s">
        <v>116</v>
      </c>
      <c r="C94" s="15"/>
      <c r="D94" s="33"/>
      <c r="E94" s="16"/>
      <c r="F94" s="26"/>
      <c r="G94" s="19"/>
      <c r="H94" s="26"/>
      <c r="I94" s="19"/>
      <c r="J94" s="19"/>
      <c r="K94" s="19"/>
      <c r="L94" s="19"/>
      <c r="M94" s="19"/>
      <c r="N94" s="14"/>
      <c r="O94" s="15"/>
      <c r="P94" s="16"/>
    </row>
    <row r="95" spans="1:16" x14ac:dyDescent="0.3">
      <c r="A95" s="16"/>
      <c r="B95" s="14" t="s">
        <v>57</v>
      </c>
      <c r="C95" s="15" t="s">
        <v>44</v>
      </c>
      <c r="D95" s="26">
        <v>78.34</v>
      </c>
      <c r="E95" s="16"/>
      <c r="F95" s="26"/>
      <c r="G95" s="19"/>
      <c r="H95" s="26"/>
      <c r="I95" s="19"/>
      <c r="J95" s="19"/>
      <c r="K95" s="19"/>
      <c r="L95" s="19"/>
      <c r="M95" s="19"/>
      <c r="N95" s="14"/>
      <c r="O95" s="15"/>
      <c r="P95" s="16"/>
    </row>
    <row r="96" spans="1:16" x14ac:dyDescent="0.3">
      <c r="A96" s="16"/>
      <c r="B96" s="14" t="s">
        <v>58</v>
      </c>
      <c r="C96" s="15" t="s">
        <v>34</v>
      </c>
      <c r="D96" s="26">
        <v>2.7</v>
      </c>
      <c r="E96" s="16"/>
      <c r="F96" s="26"/>
      <c r="G96" s="19"/>
      <c r="H96" s="26"/>
      <c r="I96" s="19"/>
      <c r="J96" s="19"/>
      <c r="K96" s="19"/>
      <c r="L96" s="19"/>
      <c r="M96" s="19"/>
      <c r="N96" s="14"/>
      <c r="O96" s="15"/>
      <c r="P96" s="16"/>
    </row>
    <row r="97" spans="1:16" x14ac:dyDescent="0.3">
      <c r="A97" s="16"/>
      <c r="B97" s="14" t="s">
        <v>59</v>
      </c>
      <c r="C97" s="15" t="s">
        <v>33</v>
      </c>
      <c r="D97" s="26">
        <v>14.2</v>
      </c>
      <c r="E97" s="16"/>
      <c r="F97" s="26"/>
      <c r="G97" s="19"/>
      <c r="H97" s="26"/>
      <c r="I97" s="19"/>
      <c r="J97" s="19"/>
      <c r="K97" s="19"/>
      <c r="L97" s="19"/>
      <c r="M97" s="19"/>
      <c r="N97" s="14"/>
      <c r="O97" s="15"/>
      <c r="P97" s="16"/>
    </row>
    <row r="98" spans="1:16" x14ac:dyDescent="0.3">
      <c r="A98" s="16"/>
      <c r="B98" s="14" t="s">
        <v>60</v>
      </c>
      <c r="C98" s="15" t="s">
        <v>32</v>
      </c>
      <c r="D98" s="26">
        <v>6.75</v>
      </c>
      <c r="E98" s="16"/>
      <c r="F98" s="26"/>
      <c r="G98" s="19"/>
      <c r="H98" s="26"/>
      <c r="I98" s="19"/>
      <c r="J98" s="19"/>
      <c r="K98" s="19"/>
      <c r="L98" s="19"/>
      <c r="M98" s="19"/>
      <c r="N98" s="14"/>
      <c r="O98" s="15"/>
      <c r="P98" s="16"/>
    </row>
    <row r="99" spans="1:16" x14ac:dyDescent="0.3">
      <c r="A99" s="16"/>
      <c r="B99" s="14" t="s">
        <v>61</v>
      </c>
      <c r="C99" s="15" t="s">
        <v>35</v>
      </c>
      <c r="D99" s="26">
        <v>34.020000000000003</v>
      </c>
      <c r="E99" s="16"/>
      <c r="F99" s="26"/>
      <c r="G99" s="19"/>
      <c r="H99" s="26"/>
      <c r="I99" s="19"/>
      <c r="J99" s="19"/>
      <c r="K99" s="19"/>
      <c r="L99" s="19"/>
      <c r="M99" s="19"/>
      <c r="N99" s="14"/>
      <c r="O99" s="15"/>
      <c r="P99" s="16"/>
    </row>
    <row r="100" spans="1:16" x14ac:dyDescent="0.3">
      <c r="A100" s="16"/>
      <c r="B100" s="14" t="s">
        <v>62</v>
      </c>
      <c r="C100" s="15" t="s">
        <v>30</v>
      </c>
      <c r="D100" s="26">
        <v>24</v>
      </c>
      <c r="E100" s="16"/>
      <c r="F100" s="26"/>
      <c r="G100" s="19"/>
      <c r="H100" s="26"/>
      <c r="I100" s="19"/>
      <c r="J100" s="19"/>
      <c r="K100" s="19"/>
      <c r="L100" s="19"/>
      <c r="M100" s="19"/>
      <c r="N100" s="14"/>
      <c r="O100" s="15"/>
      <c r="P100" s="16"/>
    </row>
    <row r="101" spans="1:16" x14ac:dyDescent="0.3">
      <c r="A101" s="16"/>
      <c r="B101" s="14">
        <v>9</v>
      </c>
      <c r="C101" s="15" t="s">
        <v>31</v>
      </c>
      <c r="D101" s="26">
        <v>24</v>
      </c>
      <c r="E101" s="16"/>
      <c r="F101" s="26"/>
      <c r="G101" s="19"/>
      <c r="H101" s="26"/>
      <c r="I101" s="19"/>
      <c r="J101" s="19"/>
      <c r="K101" s="19"/>
      <c r="L101" s="19"/>
      <c r="M101" s="19"/>
      <c r="N101" s="14"/>
      <c r="O101" s="15"/>
      <c r="P101" s="16"/>
    </row>
    <row r="102" spans="1:16" x14ac:dyDescent="0.3">
      <c r="A102" s="16"/>
      <c r="B102" s="14" t="s">
        <v>64</v>
      </c>
      <c r="C102" s="15" t="s">
        <v>28</v>
      </c>
      <c r="D102" s="26">
        <v>3</v>
      </c>
      <c r="E102" s="16"/>
      <c r="F102" s="26"/>
      <c r="G102" s="19"/>
      <c r="H102" s="26"/>
      <c r="I102" s="19"/>
      <c r="J102" s="19"/>
      <c r="K102" s="19"/>
      <c r="L102" s="19"/>
      <c r="M102" s="19"/>
      <c r="N102" s="14"/>
      <c r="O102" s="15"/>
      <c r="P102" s="16"/>
    </row>
    <row r="103" spans="1:16" x14ac:dyDescent="0.3">
      <c r="A103" s="16"/>
      <c r="B103" s="14" t="s">
        <v>65</v>
      </c>
      <c r="C103" s="15" t="s">
        <v>55</v>
      </c>
      <c r="D103" s="26">
        <v>6</v>
      </c>
      <c r="E103" s="16"/>
      <c r="F103" s="26"/>
      <c r="G103" s="19"/>
      <c r="H103" s="26"/>
      <c r="I103" s="19"/>
      <c r="J103" s="19"/>
      <c r="K103" s="19"/>
      <c r="L103" s="19"/>
      <c r="M103" s="19"/>
      <c r="N103" s="14"/>
      <c r="O103" s="15"/>
      <c r="P103" s="16"/>
    </row>
    <row r="104" spans="1:16" x14ac:dyDescent="0.3">
      <c r="A104" s="16"/>
      <c r="B104" s="14" t="s">
        <v>66</v>
      </c>
      <c r="C104" s="15" t="s">
        <v>27</v>
      </c>
      <c r="D104" s="26">
        <v>4.5</v>
      </c>
      <c r="E104" s="16"/>
      <c r="F104" s="26"/>
      <c r="G104" s="19"/>
      <c r="H104" s="26"/>
      <c r="I104" s="19"/>
      <c r="J104" s="19"/>
      <c r="K104" s="19"/>
      <c r="L104" s="19"/>
      <c r="M104" s="19"/>
      <c r="N104" s="14"/>
      <c r="O104" s="15"/>
      <c r="P104" s="16"/>
    </row>
    <row r="105" spans="1:16" x14ac:dyDescent="0.3">
      <c r="A105" s="16"/>
      <c r="B105" s="14"/>
      <c r="C105" s="15"/>
      <c r="D105" s="33">
        <f>SUM(D95:D104)</f>
        <v>197.51000000000002</v>
      </c>
      <c r="E105" s="16"/>
      <c r="F105" s="26"/>
      <c r="G105" s="19"/>
      <c r="H105" s="26"/>
      <c r="I105" s="19"/>
      <c r="J105" s="19"/>
      <c r="K105" s="19"/>
      <c r="L105" s="19"/>
      <c r="M105" s="19"/>
      <c r="N105" s="14"/>
      <c r="O105" s="15"/>
      <c r="P105" s="16"/>
    </row>
    <row r="106" spans="1:16" x14ac:dyDescent="0.3">
      <c r="A106" s="16"/>
      <c r="B106" s="14"/>
      <c r="C106" s="15"/>
      <c r="D106" s="33"/>
      <c r="E106" s="16"/>
      <c r="F106" s="26"/>
      <c r="G106" s="19"/>
      <c r="H106" s="26"/>
      <c r="I106" s="19"/>
      <c r="J106" s="19"/>
      <c r="K106" s="19"/>
      <c r="L106" s="19"/>
      <c r="M106" s="19"/>
      <c r="N106" s="14"/>
      <c r="O106" s="15"/>
      <c r="P106" s="16"/>
    </row>
    <row r="107" spans="1:16" x14ac:dyDescent="0.3">
      <c r="A107" s="16">
        <v>7</v>
      </c>
      <c r="B107" s="14" t="s">
        <v>117</v>
      </c>
      <c r="C107" s="15"/>
      <c r="D107" s="33"/>
      <c r="E107" s="16"/>
      <c r="F107" s="26"/>
      <c r="G107" s="19"/>
      <c r="H107" s="26"/>
      <c r="I107" s="19"/>
      <c r="J107" s="19"/>
      <c r="K107" s="19"/>
      <c r="L107" s="19"/>
      <c r="M107" s="19"/>
      <c r="N107" s="14"/>
      <c r="O107" s="15"/>
      <c r="P107" s="16"/>
    </row>
    <row r="108" spans="1:16" x14ac:dyDescent="0.3">
      <c r="A108" s="16"/>
      <c r="B108" s="14" t="s">
        <v>57</v>
      </c>
      <c r="C108" s="15" t="s">
        <v>22</v>
      </c>
      <c r="D108" s="26">
        <v>296.95</v>
      </c>
      <c r="E108" s="16"/>
      <c r="F108" s="26"/>
      <c r="G108" s="19"/>
      <c r="H108" s="26"/>
      <c r="I108" s="19"/>
      <c r="J108" s="19"/>
      <c r="K108" s="19"/>
      <c r="L108" s="19"/>
      <c r="M108" s="19"/>
      <c r="N108" s="14"/>
      <c r="O108" s="15"/>
      <c r="P108" s="16"/>
    </row>
    <row r="109" spans="1:16" x14ac:dyDescent="0.3">
      <c r="A109" s="16"/>
      <c r="B109" s="14" t="s">
        <v>58</v>
      </c>
      <c r="C109" s="15" t="s">
        <v>42</v>
      </c>
      <c r="D109" s="26">
        <v>190.5</v>
      </c>
      <c r="E109" s="16"/>
      <c r="F109" s="26"/>
      <c r="G109" s="19"/>
      <c r="H109" s="26"/>
      <c r="I109" s="19"/>
      <c r="J109" s="19"/>
      <c r="K109" s="19"/>
      <c r="L109" s="19"/>
      <c r="M109" s="19"/>
      <c r="N109" s="14"/>
      <c r="O109" s="15"/>
      <c r="P109" s="16"/>
    </row>
    <row r="110" spans="1:16" x14ac:dyDescent="0.3">
      <c r="A110" s="16"/>
      <c r="B110" s="14" t="s">
        <v>59</v>
      </c>
      <c r="C110" s="15" t="s">
        <v>118</v>
      </c>
      <c r="D110" s="26">
        <v>121.95</v>
      </c>
      <c r="E110" s="16"/>
      <c r="F110" s="26"/>
      <c r="G110" s="19"/>
      <c r="H110" s="26"/>
      <c r="I110" s="19"/>
      <c r="J110" s="19"/>
      <c r="K110" s="19"/>
      <c r="L110" s="19"/>
      <c r="M110" s="19"/>
      <c r="N110" s="14"/>
      <c r="O110" s="15"/>
      <c r="P110" s="16"/>
    </row>
    <row r="111" spans="1:16" x14ac:dyDescent="0.3">
      <c r="A111" s="16"/>
      <c r="B111" s="14" t="s">
        <v>60</v>
      </c>
      <c r="C111" s="15" t="s">
        <v>43</v>
      </c>
      <c r="D111" s="26">
        <v>244.8</v>
      </c>
      <c r="E111" s="16"/>
      <c r="F111" s="26"/>
      <c r="G111" s="19"/>
      <c r="H111" s="26"/>
      <c r="I111" s="19"/>
      <c r="J111" s="19"/>
      <c r="K111" s="19"/>
      <c r="L111" s="19"/>
      <c r="M111" s="19"/>
      <c r="N111" s="14"/>
      <c r="O111" s="15"/>
      <c r="P111" s="16"/>
    </row>
    <row r="112" spans="1:16" x14ac:dyDescent="0.3">
      <c r="A112" s="16"/>
      <c r="B112" s="14" t="s">
        <v>61</v>
      </c>
      <c r="C112" s="15" t="s">
        <v>44</v>
      </c>
      <c r="D112" s="26">
        <v>57.95</v>
      </c>
      <c r="E112" s="16"/>
      <c r="F112" s="26"/>
      <c r="G112" s="19"/>
      <c r="H112" s="26"/>
      <c r="I112" s="19"/>
      <c r="J112" s="19"/>
      <c r="K112" s="19"/>
      <c r="L112" s="19"/>
      <c r="M112" s="19"/>
      <c r="N112" s="14"/>
      <c r="O112" s="15"/>
      <c r="P112" s="16"/>
    </row>
    <row r="113" spans="1:16" x14ac:dyDescent="0.3">
      <c r="A113" s="16"/>
      <c r="B113" s="14" t="s">
        <v>62</v>
      </c>
      <c r="C113" s="15" t="s">
        <v>27</v>
      </c>
      <c r="D113" s="26">
        <v>2</v>
      </c>
      <c r="E113" s="16"/>
      <c r="F113" s="26"/>
      <c r="G113" s="19"/>
      <c r="H113" s="26"/>
      <c r="I113" s="19"/>
      <c r="J113" s="19"/>
      <c r="K113" s="19"/>
      <c r="L113" s="19"/>
      <c r="M113" s="19"/>
      <c r="N113" s="14"/>
      <c r="O113" s="15"/>
      <c r="P113" s="16"/>
    </row>
    <row r="114" spans="1:16" x14ac:dyDescent="0.3">
      <c r="A114" s="16"/>
      <c r="B114" s="14"/>
      <c r="C114" s="15"/>
      <c r="D114" s="33">
        <f>SUM(D108:D113)</f>
        <v>914.15000000000009</v>
      </c>
      <c r="E114" s="16"/>
      <c r="F114" s="26"/>
      <c r="G114" s="19"/>
      <c r="H114" s="26"/>
      <c r="I114" s="19"/>
      <c r="J114" s="19"/>
      <c r="K114" s="19"/>
      <c r="L114" s="19"/>
      <c r="M114" s="19"/>
      <c r="N114" s="14"/>
      <c r="O114" s="15"/>
      <c r="P114" s="16"/>
    </row>
    <row r="115" spans="1:16" x14ac:dyDescent="0.3">
      <c r="A115" s="16"/>
      <c r="B115" s="14"/>
      <c r="C115" s="15"/>
      <c r="D115" s="26"/>
      <c r="E115" s="16"/>
      <c r="F115" s="26"/>
      <c r="G115" s="19"/>
      <c r="H115" s="26"/>
      <c r="I115" s="19"/>
      <c r="J115" s="19"/>
      <c r="K115" s="19"/>
      <c r="L115" s="19"/>
      <c r="M115" s="19"/>
      <c r="N115" s="14"/>
      <c r="O115" s="15"/>
      <c r="P115" s="16"/>
    </row>
    <row r="116" spans="1:16" ht="8.25" customHeight="1" x14ac:dyDescent="0.3">
      <c r="A116" s="6"/>
      <c r="B116" s="9"/>
      <c r="C116" s="11"/>
      <c r="D116" s="6"/>
      <c r="E116" s="6"/>
      <c r="F116" s="7"/>
      <c r="G116" s="7"/>
      <c r="H116" s="7"/>
      <c r="I116" s="7"/>
      <c r="J116" s="7"/>
      <c r="K116" s="7"/>
      <c r="L116" s="7"/>
      <c r="M116" s="7"/>
      <c r="N116" s="9"/>
      <c r="O116" s="11"/>
      <c r="P116" s="6"/>
    </row>
    <row r="117" spans="1:16" x14ac:dyDescent="0.3">
      <c r="F117" s="2"/>
      <c r="G117" s="2"/>
      <c r="H117" s="2"/>
      <c r="I117" s="2"/>
      <c r="J117" s="2"/>
      <c r="K117" s="2"/>
      <c r="L117" s="2"/>
      <c r="M117" s="2"/>
    </row>
  </sheetData>
  <mergeCells count="11">
    <mergeCell ref="O28:O29"/>
    <mergeCell ref="A1:P1"/>
    <mergeCell ref="A6:A7"/>
    <mergeCell ref="B6:C6"/>
    <mergeCell ref="D6:D7"/>
    <mergeCell ref="E6:E7"/>
    <mergeCell ref="F6:H6"/>
    <mergeCell ref="I6:M6"/>
    <mergeCell ref="N6:O7"/>
    <mergeCell ref="P6:P7"/>
    <mergeCell ref="B7:C7"/>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52"/>
  <sheetViews>
    <sheetView topLeftCell="A43" workbookViewId="0">
      <selection activeCell="A53" sqref="A53:XFD63"/>
    </sheetView>
  </sheetViews>
  <sheetFormatPr defaultColWidth="9.1796875" defaultRowHeight="14" x14ac:dyDescent="0.3"/>
  <cols>
    <col min="1" max="1" width="9.1796875" style="1"/>
    <col min="2" max="2" width="2.1796875" style="1" customWidth="1"/>
    <col min="3" max="3" width="18.81640625" style="1" bestFit="1" customWidth="1"/>
    <col min="4" max="4" width="13.54296875" style="1" customWidth="1"/>
    <col min="5" max="5" width="23.81640625" style="1" customWidth="1"/>
    <col min="6" max="6" width="7.54296875" style="1" bestFit="1" customWidth="1"/>
    <col min="7" max="7" width="8.81640625" style="1" customWidth="1"/>
    <col min="8" max="8" width="7.54296875" style="1" bestFit="1" customWidth="1"/>
    <col min="9" max="9" width="6.453125" style="1" bestFit="1" customWidth="1"/>
    <col min="10" max="10" width="6.81640625" style="1" bestFit="1" customWidth="1"/>
    <col min="11" max="11" width="10" style="1" bestFit="1" customWidth="1"/>
    <col min="12" max="12" width="5.54296875" style="1" bestFit="1" customWidth="1"/>
    <col min="13" max="13" width="6.81640625" style="1" bestFit="1" customWidth="1"/>
    <col min="14" max="14" width="2.1796875" style="1" customWidth="1"/>
    <col min="15" max="15" width="23.54296875" style="1" customWidth="1"/>
    <col min="16" max="16" width="13.7265625" style="1" customWidth="1"/>
    <col min="17" max="16384" width="9.1796875" style="1"/>
  </cols>
  <sheetData>
    <row r="1" spans="1:16" x14ac:dyDescent="0.3">
      <c r="A1" s="385" t="s">
        <v>0</v>
      </c>
      <c r="B1" s="385"/>
      <c r="C1" s="385"/>
      <c r="D1" s="385"/>
      <c r="E1" s="385"/>
      <c r="F1" s="385"/>
      <c r="G1" s="385"/>
      <c r="H1" s="385"/>
      <c r="I1" s="385"/>
      <c r="J1" s="385"/>
      <c r="K1" s="385"/>
      <c r="L1" s="385"/>
      <c r="M1" s="385"/>
      <c r="N1" s="385"/>
      <c r="O1" s="385"/>
      <c r="P1" s="385"/>
    </row>
    <row r="3" spans="1:16" x14ac:dyDescent="0.3">
      <c r="A3" s="1" t="s">
        <v>1</v>
      </c>
      <c r="B3" s="1" t="s">
        <v>78</v>
      </c>
      <c r="C3" s="1" t="s">
        <v>77</v>
      </c>
    </row>
    <row r="4" spans="1:16" x14ac:dyDescent="0.3">
      <c r="A4" s="1" t="s">
        <v>2</v>
      </c>
      <c r="B4" s="1" t="s">
        <v>78</v>
      </c>
      <c r="C4" s="4" t="s">
        <v>193</v>
      </c>
    </row>
    <row r="6" spans="1:16" x14ac:dyDescent="0.3">
      <c r="A6" s="386" t="s">
        <v>3</v>
      </c>
      <c r="B6" s="388" t="s">
        <v>4</v>
      </c>
      <c r="C6" s="388"/>
      <c r="D6" s="389" t="s">
        <v>6</v>
      </c>
      <c r="E6" s="391" t="s">
        <v>7</v>
      </c>
      <c r="F6" s="393" t="s">
        <v>8</v>
      </c>
      <c r="G6" s="393"/>
      <c r="H6" s="393"/>
      <c r="I6" s="393" t="s">
        <v>12</v>
      </c>
      <c r="J6" s="393"/>
      <c r="K6" s="393"/>
      <c r="L6" s="393"/>
      <c r="M6" s="393"/>
      <c r="N6" s="391" t="s">
        <v>17</v>
      </c>
      <c r="O6" s="391"/>
      <c r="P6" s="386" t="s">
        <v>18</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x14ac:dyDescent="0.3">
      <c r="A9" s="13">
        <v>1</v>
      </c>
      <c r="B9" s="14" t="s">
        <v>20</v>
      </c>
      <c r="C9" s="15"/>
      <c r="D9" s="16"/>
      <c r="E9" s="16"/>
      <c r="F9" s="16"/>
      <c r="G9" s="16"/>
      <c r="H9" s="16"/>
      <c r="I9" s="16"/>
      <c r="J9" s="16"/>
      <c r="K9" s="16"/>
      <c r="L9" s="16"/>
      <c r="M9" s="16"/>
      <c r="N9" s="14"/>
      <c r="O9" s="15"/>
      <c r="P9" s="16"/>
    </row>
    <row r="10" spans="1:16" x14ac:dyDescent="0.3">
      <c r="A10" s="13"/>
      <c r="B10" s="17" t="s">
        <v>57</v>
      </c>
      <c r="C10" s="15" t="s">
        <v>21</v>
      </c>
      <c r="D10" s="18">
        <v>403.56</v>
      </c>
      <c r="E10" s="16" t="s">
        <v>36</v>
      </c>
      <c r="F10" s="19">
        <v>0</v>
      </c>
      <c r="G10" s="19">
        <v>55</v>
      </c>
      <c r="H10" s="19">
        <f>SUM(F10:G10)</f>
        <v>55</v>
      </c>
      <c r="I10" s="19">
        <v>0</v>
      </c>
      <c r="J10" s="19">
        <v>10</v>
      </c>
      <c r="K10" s="19">
        <v>0</v>
      </c>
      <c r="L10" s="19"/>
      <c r="M10" s="20">
        <f>SUM(I10:L10)</f>
        <v>10</v>
      </c>
      <c r="N10" s="17"/>
      <c r="O10" s="15"/>
      <c r="P10" s="16"/>
    </row>
    <row r="11" spans="1:16" x14ac:dyDescent="0.3">
      <c r="A11" s="13"/>
      <c r="B11" s="14"/>
      <c r="C11" s="15"/>
      <c r="D11" s="18"/>
      <c r="E11" s="16" t="s">
        <v>37</v>
      </c>
      <c r="F11" s="19">
        <v>0</v>
      </c>
      <c r="G11" s="19">
        <v>330</v>
      </c>
      <c r="H11" s="19">
        <f t="shared" ref="H11:H17" si="0">SUM(F11:G11)</f>
        <v>330</v>
      </c>
      <c r="I11" s="19">
        <v>0</v>
      </c>
      <c r="J11" s="19">
        <v>0</v>
      </c>
      <c r="K11" s="19">
        <v>0</v>
      </c>
      <c r="L11" s="19">
        <v>0</v>
      </c>
      <c r="M11" s="20">
        <f t="shared" ref="M11:M17" si="1">SUM(I11:L11)</f>
        <v>0</v>
      </c>
      <c r="N11" s="17" t="s">
        <v>51</v>
      </c>
      <c r="O11" s="25" t="s">
        <v>50</v>
      </c>
      <c r="P11" s="16"/>
    </row>
    <row r="12" spans="1:16" x14ac:dyDescent="0.3">
      <c r="A12" s="13"/>
      <c r="B12" s="14"/>
      <c r="C12" s="15"/>
      <c r="D12" s="18"/>
      <c r="E12" s="16" t="s">
        <v>38</v>
      </c>
      <c r="F12" s="19">
        <v>0</v>
      </c>
      <c r="G12" s="19">
        <v>350</v>
      </c>
      <c r="H12" s="19">
        <f t="shared" si="0"/>
        <v>350</v>
      </c>
      <c r="I12" s="19">
        <v>0</v>
      </c>
      <c r="J12" s="19">
        <v>5</v>
      </c>
      <c r="K12" s="19">
        <v>0</v>
      </c>
      <c r="L12" s="19">
        <v>0</v>
      </c>
      <c r="M12" s="20">
        <f t="shared" si="1"/>
        <v>5</v>
      </c>
      <c r="N12" s="17" t="s">
        <v>51</v>
      </c>
      <c r="O12" s="15" t="s">
        <v>49</v>
      </c>
      <c r="P12" s="16"/>
    </row>
    <row r="13" spans="1:16" ht="28" x14ac:dyDescent="0.3">
      <c r="A13" s="13"/>
      <c r="B13" s="14"/>
      <c r="C13" s="15"/>
      <c r="D13" s="18"/>
      <c r="E13" s="21" t="s">
        <v>39</v>
      </c>
      <c r="F13" s="22">
        <v>60</v>
      </c>
      <c r="G13" s="22">
        <v>0</v>
      </c>
      <c r="H13" s="22">
        <f t="shared" si="0"/>
        <v>60</v>
      </c>
      <c r="I13" s="22">
        <v>0</v>
      </c>
      <c r="J13" s="22">
        <v>0</v>
      </c>
      <c r="K13" s="22">
        <v>0</v>
      </c>
      <c r="L13" s="22">
        <v>0</v>
      </c>
      <c r="M13" s="23">
        <f t="shared" si="1"/>
        <v>0</v>
      </c>
      <c r="N13" s="24" t="s">
        <v>51</v>
      </c>
      <c r="O13" s="31" t="s">
        <v>48</v>
      </c>
      <c r="P13" s="16"/>
    </row>
    <row r="14" spans="1:16" x14ac:dyDescent="0.3">
      <c r="A14" s="13"/>
      <c r="B14" s="17" t="s">
        <v>58</v>
      </c>
      <c r="C14" s="15" t="s">
        <v>22</v>
      </c>
      <c r="D14" s="18">
        <v>498</v>
      </c>
      <c r="E14" s="16" t="s">
        <v>36</v>
      </c>
      <c r="F14" s="19">
        <v>0</v>
      </c>
      <c r="G14" s="19">
        <v>50</v>
      </c>
      <c r="H14" s="19">
        <f t="shared" si="0"/>
        <v>50</v>
      </c>
      <c r="I14" s="19">
        <v>0</v>
      </c>
      <c r="J14" s="19">
        <v>0</v>
      </c>
      <c r="K14" s="19">
        <v>0</v>
      </c>
      <c r="L14" s="19">
        <v>0</v>
      </c>
      <c r="M14" s="20">
        <f t="shared" si="1"/>
        <v>0</v>
      </c>
      <c r="N14" s="14"/>
      <c r="P14" s="16"/>
    </row>
    <row r="15" spans="1:16" x14ac:dyDescent="0.3">
      <c r="A15" s="13"/>
      <c r="B15" s="14"/>
      <c r="C15" s="15"/>
      <c r="D15" s="26"/>
      <c r="E15" s="16" t="s">
        <v>37</v>
      </c>
      <c r="F15" s="19">
        <v>0</v>
      </c>
      <c r="G15" s="19">
        <v>406</v>
      </c>
      <c r="H15" s="19">
        <f t="shared" si="0"/>
        <v>406</v>
      </c>
      <c r="I15" s="19">
        <v>0</v>
      </c>
      <c r="J15" s="19">
        <v>0</v>
      </c>
      <c r="K15" s="19">
        <v>0</v>
      </c>
      <c r="L15" s="19">
        <v>0</v>
      </c>
      <c r="M15" s="20">
        <f t="shared" si="1"/>
        <v>0</v>
      </c>
      <c r="N15" s="14"/>
      <c r="O15" s="15"/>
      <c r="P15" s="16"/>
    </row>
    <row r="16" spans="1:16" x14ac:dyDescent="0.3">
      <c r="A16" s="13"/>
      <c r="B16" s="14"/>
      <c r="C16" s="15"/>
      <c r="D16" s="26"/>
      <c r="E16" s="16" t="s">
        <v>38</v>
      </c>
      <c r="F16" s="19">
        <v>0</v>
      </c>
      <c r="G16" s="19">
        <v>537</v>
      </c>
      <c r="H16" s="19">
        <f t="shared" si="0"/>
        <v>537</v>
      </c>
      <c r="I16" s="19">
        <v>0</v>
      </c>
      <c r="J16" s="19">
        <v>0</v>
      </c>
      <c r="K16" s="19">
        <v>0</v>
      </c>
      <c r="L16" s="19">
        <v>0</v>
      </c>
      <c r="M16" s="20">
        <f t="shared" si="1"/>
        <v>0</v>
      </c>
      <c r="N16" s="14"/>
      <c r="O16" s="15"/>
      <c r="P16" s="16"/>
    </row>
    <row r="17" spans="1:16" ht="28" x14ac:dyDescent="0.3">
      <c r="A17" s="13"/>
      <c r="B17" s="14"/>
      <c r="C17" s="15"/>
      <c r="D17" s="26"/>
      <c r="E17" s="27" t="s">
        <v>39</v>
      </c>
      <c r="F17" s="22">
        <v>45</v>
      </c>
      <c r="G17" s="22">
        <v>0</v>
      </c>
      <c r="H17" s="22">
        <f t="shared" si="0"/>
        <v>45</v>
      </c>
      <c r="I17" s="22">
        <v>0</v>
      </c>
      <c r="J17" s="22">
        <v>0</v>
      </c>
      <c r="K17" s="22">
        <v>0</v>
      </c>
      <c r="L17" s="22">
        <v>0</v>
      </c>
      <c r="M17" s="23">
        <f t="shared" si="1"/>
        <v>0</v>
      </c>
      <c r="N17" s="28"/>
      <c r="O17" s="25"/>
      <c r="P17" s="29"/>
    </row>
    <row r="18" spans="1:16" x14ac:dyDescent="0.3">
      <c r="A18" s="13"/>
      <c r="B18" s="14"/>
      <c r="C18" s="15"/>
      <c r="D18" s="26"/>
      <c r="E18" s="16"/>
      <c r="F18" s="16"/>
      <c r="G18" s="16"/>
      <c r="H18" s="16"/>
      <c r="I18" s="16"/>
      <c r="J18" s="16"/>
      <c r="K18" s="16"/>
      <c r="L18" s="16"/>
      <c r="M18" s="16"/>
      <c r="N18" s="14"/>
      <c r="O18" s="15"/>
      <c r="P18" s="16"/>
    </row>
    <row r="19" spans="1:16" x14ac:dyDescent="0.3">
      <c r="A19" s="13">
        <v>2</v>
      </c>
      <c r="B19" s="14" t="s">
        <v>23</v>
      </c>
      <c r="C19" s="15"/>
      <c r="D19" s="26"/>
      <c r="E19" s="16"/>
      <c r="F19" s="16"/>
      <c r="G19" s="16"/>
      <c r="H19" s="16"/>
      <c r="I19" s="16"/>
      <c r="J19" s="16"/>
      <c r="K19" s="16"/>
      <c r="L19" s="16"/>
      <c r="M19" s="16"/>
      <c r="N19" s="14"/>
      <c r="O19" s="15"/>
      <c r="P19" s="16"/>
    </row>
    <row r="20" spans="1:16" x14ac:dyDescent="0.3">
      <c r="A20" s="13"/>
      <c r="B20" s="14" t="s">
        <v>57</v>
      </c>
      <c r="C20" s="15" t="s">
        <v>22</v>
      </c>
      <c r="D20" s="26">
        <v>198</v>
      </c>
      <c r="E20" s="16" t="s">
        <v>40</v>
      </c>
      <c r="F20" s="19">
        <v>0</v>
      </c>
      <c r="G20" s="19">
        <v>168</v>
      </c>
      <c r="H20" s="19">
        <f t="shared" ref="H20:H21" si="2">SUM(F20:G20)</f>
        <v>168</v>
      </c>
      <c r="I20" s="19">
        <v>0</v>
      </c>
      <c r="J20" s="19">
        <v>10</v>
      </c>
      <c r="K20" s="19">
        <v>0</v>
      </c>
      <c r="L20" s="19">
        <v>0</v>
      </c>
      <c r="M20" s="20">
        <f t="shared" ref="M20:M21" si="3">SUM(I20:L20)</f>
        <v>10</v>
      </c>
      <c r="N20" s="17" t="s">
        <v>51</v>
      </c>
      <c r="O20" s="396" t="s">
        <v>54</v>
      </c>
      <c r="P20" s="16"/>
    </row>
    <row r="21" spans="1:16" x14ac:dyDescent="0.3">
      <c r="A21" s="13"/>
      <c r="B21" s="14"/>
      <c r="C21" s="15"/>
      <c r="D21" s="26"/>
      <c r="E21" s="16"/>
      <c r="F21" s="19"/>
      <c r="G21" s="19">
        <v>0</v>
      </c>
      <c r="H21" s="19">
        <f t="shared" si="2"/>
        <v>0</v>
      </c>
      <c r="I21" s="19">
        <v>0</v>
      </c>
      <c r="J21" s="19">
        <v>0</v>
      </c>
      <c r="K21" s="19">
        <v>0</v>
      </c>
      <c r="L21" s="19">
        <v>0</v>
      </c>
      <c r="M21" s="20">
        <f t="shared" si="3"/>
        <v>0</v>
      </c>
      <c r="N21" s="14"/>
      <c r="O21" s="397"/>
      <c r="P21" s="16"/>
    </row>
    <row r="22" spans="1:16" x14ac:dyDescent="0.3">
      <c r="A22" s="13"/>
      <c r="B22" s="14"/>
      <c r="C22" s="15"/>
      <c r="D22" s="26"/>
      <c r="E22" s="16"/>
      <c r="F22" s="19"/>
      <c r="G22" s="19"/>
      <c r="H22" s="19"/>
      <c r="I22" s="19"/>
      <c r="J22" s="19"/>
      <c r="K22" s="19"/>
      <c r="L22" s="19"/>
      <c r="M22" s="19"/>
      <c r="N22" s="14"/>
      <c r="O22" s="15"/>
      <c r="P22" s="16"/>
    </row>
    <row r="23" spans="1:16" x14ac:dyDescent="0.3">
      <c r="A23" s="13">
        <v>3</v>
      </c>
      <c r="B23" s="14" t="s">
        <v>19</v>
      </c>
      <c r="C23" s="15"/>
      <c r="D23" s="26"/>
      <c r="E23" s="16"/>
      <c r="F23" s="19"/>
      <c r="G23" s="19"/>
      <c r="H23" s="19"/>
      <c r="I23" s="19"/>
      <c r="J23" s="19"/>
      <c r="K23" s="19"/>
      <c r="L23" s="19"/>
      <c r="M23" s="19"/>
      <c r="N23" s="14"/>
      <c r="O23" s="15"/>
      <c r="P23" s="16"/>
    </row>
    <row r="24" spans="1:16" x14ac:dyDescent="0.3">
      <c r="A24" s="13"/>
      <c r="B24" s="14" t="s">
        <v>57</v>
      </c>
      <c r="C24" s="15" t="s">
        <v>24</v>
      </c>
      <c r="D24" s="26">
        <v>1372.2</v>
      </c>
      <c r="E24" s="30" t="s">
        <v>52</v>
      </c>
      <c r="F24" s="19">
        <v>0</v>
      </c>
      <c r="G24" s="26">
        <f t="shared" ref="G24:G42" si="4">40%*D24</f>
        <v>548.88</v>
      </c>
      <c r="H24" s="26">
        <f>SUM(F24:G24)</f>
        <v>548.88</v>
      </c>
      <c r="I24" s="19">
        <v>0</v>
      </c>
      <c r="J24" s="19">
        <v>0</v>
      </c>
      <c r="K24" s="19">
        <v>0</v>
      </c>
      <c r="L24" s="19">
        <v>0</v>
      </c>
      <c r="M24" s="19">
        <f>SUM(I24:L24)</f>
        <v>0</v>
      </c>
      <c r="N24" s="14"/>
      <c r="O24" s="15" t="s">
        <v>138</v>
      </c>
      <c r="P24" s="16"/>
    </row>
    <row r="25" spans="1:16" x14ac:dyDescent="0.3">
      <c r="A25" s="13"/>
      <c r="B25" s="14" t="s">
        <v>58</v>
      </c>
      <c r="C25" s="15" t="s">
        <v>25</v>
      </c>
      <c r="D25" s="26">
        <v>995.2</v>
      </c>
      <c r="E25" s="30" t="s">
        <v>52</v>
      </c>
      <c r="F25" s="19">
        <v>0</v>
      </c>
      <c r="G25" s="26">
        <f t="shared" si="4"/>
        <v>398.08000000000004</v>
      </c>
      <c r="H25" s="26">
        <f t="shared" ref="H25" si="5">SUM(F25:G25)</f>
        <v>398.08000000000004</v>
      </c>
      <c r="I25" s="19">
        <v>0</v>
      </c>
      <c r="J25" s="19">
        <v>0</v>
      </c>
      <c r="K25" s="19">
        <v>10</v>
      </c>
      <c r="L25" s="19">
        <v>0</v>
      </c>
      <c r="M25" s="19">
        <f t="shared" ref="M25:M42" si="6">SUM(I25:L25)</f>
        <v>10</v>
      </c>
      <c r="N25" s="14"/>
      <c r="O25" s="15" t="s">
        <v>133</v>
      </c>
      <c r="P25" s="16"/>
    </row>
    <row r="26" spans="1:16" x14ac:dyDescent="0.3">
      <c r="A26" s="13"/>
      <c r="B26" s="14" t="s">
        <v>59</v>
      </c>
      <c r="C26" s="15" t="s">
        <v>26</v>
      </c>
      <c r="D26" s="26">
        <v>716.5</v>
      </c>
      <c r="E26" s="30" t="s">
        <v>52</v>
      </c>
      <c r="F26" s="19">
        <v>0</v>
      </c>
      <c r="G26" s="26">
        <f t="shared" si="4"/>
        <v>286.60000000000002</v>
      </c>
      <c r="H26" s="26">
        <f t="shared" ref="H26:H42" si="7">SUM(F26:G26)</f>
        <v>286.60000000000002</v>
      </c>
      <c r="I26" s="19">
        <v>0</v>
      </c>
      <c r="J26" s="19">
        <v>0</v>
      </c>
      <c r="K26" s="19">
        <v>0</v>
      </c>
      <c r="L26" s="19">
        <v>0</v>
      </c>
      <c r="M26" s="19">
        <f t="shared" si="6"/>
        <v>0</v>
      </c>
      <c r="N26" s="14"/>
      <c r="O26" s="15"/>
      <c r="P26" s="16"/>
    </row>
    <row r="27" spans="1:16" x14ac:dyDescent="0.3">
      <c r="A27" s="13"/>
      <c r="B27" s="14" t="s">
        <v>60</v>
      </c>
      <c r="C27" s="15" t="s">
        <v>55</v>
      </c>
      <c r="D27" s="26">
        <v>955.3</v>
      </c>
      <c r="E27" s="30" t="s">
        <v>52</v>
      </c>
      <c r="F27" s="19">
        <v>0</v>
      </c>
      <c r="G27" s="26">
        <f t="shared" si="4"/>
        <v>382.12</v>
      </c>
      <c r="H27" s="26">
        <f t="shared" si="7"/>
        <v>382.12</v>
      </c>
      <c r="I27" s="19">
        <v>0</v>
      </c>
      <c r="J27" s="19">
        <v>0</v>
      </c>
      <c r="K27" s="19">
        <v>0</v>
      </c>
      <c r="L27" s="19">
        <v>0</v>
      </c>
      <c r="M27" s="19">
        <f t="shared" si="6"/>
        <v>0</v>
      </c>
      <c r="N27" s="14"/>
      <c r="O27" s="15"/>
      <c r="P27" s="16"/>
    </row>
    <row r="28" spans="1:16" x14ac:dyDescent="0.3">
      <c r="A28" s="13"/>
      <c r="B28" s="14" t="s">
        <v>61</v>
      </c>
      <c r="C28" s="15" t="s">
        <v>27</v>
      </c>
      <c r="D28" s="26">
        <v>901.2</v>
      </c>
      <c r="E28" s="30" t="s">
        <v>52</v>
      </c>
      <c r="F28" s="19">
        <v>0</v>
      </c>
      <c r="G28" s="26">
        <f t="shared" si="4"/>
        <v>360.48</v>
      </c>
      <c r="H28" s="26">
        <f t="shared" si="7"/>
        <v>360.48</v>
      </c>
      <c r="I28" s="19">
        <v>0</v>
      </c>
      <c r="J28" s="19">
        <v>0</v>
      </c>
      <c r="K28" s="19">
        <v>5</v>
      </c>
      <c r="L28" s="19">
        <v>0</v>
      </c>
      <c r="M28" s="19">
        <f t="shared" si="6"/>
        <v>5</v>
      </c>
      <c r="N28" s="14"/>
      <c r="O28" s="15"/>
      <c r="P28" s="16"/>
    </row>
    <row r="29" spans="1:16" x14ac:dyDescent="0.3">
      <c r="A29" s="13"/>
      <c r="B29" s="14" t="s">
        <v>62</v>
      </c>
      <c r="C29" s="15" t="s">
        <v>28</v>
      </c>
      <c r="D29" s="26">
        <v>871</v>
      </c>
      <c r="E29" s="30" t="s">
        <v>52</v>
      </c>
      <c r="F29" s="19">
        <v>0</v>
      </c>
      <c r="G29" s="26">
        <f t="shared" si="4"/>
        <v>348.40000000000003</v>
      </c>
      <c r="H29" s="26">
        <f t="shared" si="7"/>
        <v>348.40000000000003</v>
      </c>
      <c r="I29" s="19">
        <v>0</v>
      </c>
      <c r="J29" s="19">
        <v>0</v>
      </c>
      <c r="K29" s="19">
        <v>0</v>
      </c>
      <c r="L29" s="19">
        <v>0</v>
      </c>
      <c r="M29" s="19">
        <f t="shared" si="6"/>
        <v>0</v>
      </c>
      <c r="N29" s="14"/>
      <c r="O29" s="15"/>
      <c r="P29" s="16"/>
    </row>
    <row r="30" spans="1:16" x14ac:dyDescent="0.3">
      <c r="A30" s="13"/>
      <c r="B30" s="14" t="s">
        <v>63</v>
      </c>
      <c r="C30" s="15" t="s">
        <v>29</v>
      </c>
      <c r="D30" s="26">
        <v>1516</v>
      </c>
      <c r="E30" s="30" t="s">
        <v>52</v>
      </c>
      <c r="F30" s="19">
        <v>0</v>
      </c>
      <c r="G30" s="26">
        <f t="shared" si="4"/>
        <v>606.4</v>
      </c>
      <c r="H30" s="26">
        <f t="shared" si="7"/>
        <v>606.4</v>
      </c>
      <c r="I30" s="19">
        <v>0</v>
      </c>
      <c r="J30" s="19">
        <v>0</v>
      </c>
      <c r="K30" s="19">
        <v>0</v>
      </c>
      <c r="L30" s="19">
        <v>0</v>
      </c>
      <c r="M30" s="19">
        <f t="shared" si="6"/>
        <v>0</v>
      </c>
      <c r="N30" s="14"/>
      <c r="O30" s="15"/>
      <c r="P30" s="16"/>
    </row>
    <row r="31" spans="1:16" x14ac:dyDescent="0.3">
      <c r="A31" s="13"/>
      <c r="B31" s="14" t="s">
        <v>64</v>
      </c>
      <c r="C31" s="15" t="s">
        <v>56</v>
      </c>
      <c r="D31" s="26">
        <v>97.2</v>
      </c>
      <c r="E31" s="30" t="s">
        <v>52</v>
      </c>
      <c r="F31" s="19">
        <v>0</v>
      </c>
      <c r="G31" s="26">
        <f t="shared" si="4"/>
        <v>38.880000000000003</v>
      </c>
      <c r="H31" s="26">
        <f t="shared" si="7"/>
        <v>38.880000000000003</v>
      </c>
      <c r="I31" s="19">
        <v>0</v>
      </c>
      <c r="J31" s="19">
        <v>0</v>
      </c>
      <c r="K31" s="19">
        <v>0</v>
      </c>
      <c r="L31" s="19">
        <v>0</v>
      </c>
      <c r="M31" s="19">
        <f t="shared" si="6"/>
        <v>0</v>
      </c>
      <c r="N31" s="14"/>
      <c r="O31" s="15"/>
      <c r="P31" s="16"/>
    </row>
    <row r="32" spans="1:16" x14ac:dyDescent="0.3">
      <c r="A32" s="13"/>
      <c r="B32" s="14" t="s">
        <v>65</v>
      </c>
      <c r="C32" s="15" t="s">
        <v>30</v>
      </c>
      <c r="D32" s="26">
        <v>1502.3</v>
      </c>
      <c r="E32" s="30" t="s">
        <v>52</v>
      </c>
      <c r="F32" s="19">
        <v>0</v>
      </c>
      <c r="G32" s="26">
        <f t="shared" si="4"/>
        <v>600.91999999999996</v>
      </c>
      <c r="H32" s="26">
        <f t="shared" si="7"/>
        <v>600.91999999999996</v>
      </c>
      <c r="I32" s="19">
        <v>0</v>
      </c>
      <c r="J32" s="19">
        <v>0</v>
      </c>
      <c r="K32" s="19">
        <v>0</v>
      </c>
      <c r="L32" s="19">
        <v>0</v>
      </c>
      <c r="M32" s="19">
        <f t="shared" si="6"/>
        <v>0</v>
      </c>
      <c r="N32" s="14"/>
      <c r="O32" s="15"/>
      <c r="P32" s="16"/>
    </row>
    <row r="33" spans="1:16" x14ac:dyDescent="0.3">
      <c r="A33" s="13"/>
      <c r="B33" s="14" t="s">
        <v>66</v>
      </c>
      <c r="C33" s="15" t="s">
        <v>31</v>
      </c>
      <c r="D33" s="26">
        <v>1518</v>
      </c>
      <c r="E33" s="30" t="s">
        <v>52</v>
      </c>
      <c r="F33" s="19">
        <v>0</v>
      </c>
      <c r="G33" s="26">
        <f t="shared" si="4"/>
        <v>607.20000000000005</v>
      </c>
      <c r="H33" s="26">
        <f t="shared" si="7"/>
        <v>607.20000000000005</v>
      </c>
      <c r="I33" s="19">
        <v>0</v>
      </c>
      <c r="J33" s="19">
        <v>0</v>
      </c>
      <c r="K33" s="19">
        <v>0</v>
      </c>
      <c r="L33" s="19">
        <v>0</v>
      </c>
      <c r="M33" s="19">
        <f t="shared" si="6"/>
        <v>0</v>
      </c>
      <c r="N33" s="14"/>
      <c r="O33" s="15"/>
      <c r="P33" s="16"/>
    </row>
    <row r="34" spans="1:16" x14ac:dyDescent="0.3">
      <c r="A34" s="13"/>
      <c r="B34" s="14" t="s">
        <v>67</v>
      </c>
      <c r="C34" s="15" t="s">
        <v>32</v>
      </c>
      <c r="D34" s="26">
        <v>997.4</v>
      </c>
      <c r="E34" s="30" t="s">
        <v>52</v>
      </c>
      <c r="F34" s="19">
        <v>0</v>
      </c>
      <c r="G34" s="26">
        <f t="shared" si="4"/>
        <v>398.96000000000004</v>
      </c>
      <c r="H34" s="26">
        <f t="shared" si="7"/>
        <v>398.96000000000004</v>
      </c>
      <c r="I34" s="19">
        <v>0</v>
      </c>
      <c r="J34" s="19">
        <v>0</v>
      </c>
      <c r="K34" s="19">
        <v>0</v>
      </c>
      <c r="L34" s="19">
        <v>0</v>
      </c>
      <c r="M34" s="19">
        <f t="shared" si="6"/>
        <v>0</v>
      </c>
      <c r="N34" s="14"/>
      <c r="O34" s="15"/>
      <c r="P34" s="16"/>
    </row>
    <row r="35" spans="1:16" x14ac:dyDescent="0.3">
      <c r="A35" s="13"/>
      <c r="B35" s="14" t="s">
        <v>68</v>
      </c>
      <c r="C35" s="15" t="s">
        <v>33</v>
      </c>
      <c r="D35" s="26">
        <v>1304</v>
      </c>
      <c r="E35" s="30" t="s">
        <v>52</v>
      </c>
      <c r="F35" s="19">
        <v>0</v>
      </c>
      <c r="G35" s="26">
        <f t="shared" si="4"/>
        <v>521.6</v>
      </c>
      <c r="H35" s="26">
        <f t="shared" si="7"/>
        <v>521.6</v>
      </c>
      <c r="I35" s="19">
        <v>0</v>
      </c>
      <c r="J35" s="19">
        <v>0</v>
      </c>
      <c r="K35" s="19">
        <v>0</v>
      </c>
      <c r="L35" s="19">
        <v>0</v>
      </c>
      <c r="M35" s="19">
        <f t="shared" si="6"/>
        <v>0</v>
      </c>
      <c r="N35" s="14"/>
      <c r="O35" s="15"/>
      <c r="P35" s="16"/>
    </row>
    <row r="36" spans="1:16" x14ac:dyDescent="0.3">
      <c r="A36" s="13"/>
      <c r="B36" s="14" t="s">
        <v>69</v>
      </c>
      <c r="C36" s="15" t="s">
        <v>34</v>
      </c>
      <c r="D36" s="26">
        <v>1704</v>
      </c>
      <c r="E36" s="30" t="s">
        <v>52</v>
      </c>
      <c r="F36" s="19">
        <v>0</v>
      </c>
      <c r="G36" s="26">
        <f t="shared" si="4"/>
        <v>681.6</v>
      </c>
      <c r="H36" s="26">
        <f t="shared" si="7"/>
        <v>681.6</v>
      </c>
      <c r="I36" s="19">
        <v>0</v>
      </c>
      <c r="J36" s="19">
        <v>0</v>
      </c>
      <c r="K36" s="19">
        <v>10</v>
      </c>
      <c r="L36" s="19">
        <v>0</v>
      </c>
      <c r="M36" s="19">
        <f t="shared" si="6"/>
        <v>10</v>
      </c>
      <c r="N36" s="14"/>
      <c r="O36" s="15"/>
      <c r="P36" s="16"/>
    </row>
    <row r="37" spans="1:16" x14ac:dyDescent="0.3">
      <c r="A37" s="13"/>
      <c r="B37" s="14" t="s">
        <v>70</v>
      </c>
      <c r="C37" s="15" t="s">
        <v>35</v>
      </c>
      <c r="D37" s="26">
        <v>1557</v>
      </c>
      <c r="E37" s="30" t="s">
        <v>52</v>
      </c>
      <c r="F37" s="19">
        <v>0</v>
      </c>
      <c r="G37" s="26">
        <f t="shared" si="4"/>
        <v>622.80000000000007</v>
      </c>
      <c r="H37" s="26">
        <f t="shared" si="7"/>
        <v>622.80000000000007</v>
      </c>
      <c r="I37" s="19">
        <v>0</v>
      </c>
      <c r="J37" s="19">
        <v>0</v>
      </c>
      <c r="K37" s="19">
        <v>0</v>
      </c>
      <c r="L37" s="19">
        <v>0</v>
      </c>
      <c r="M37" s="19">
        <f t="shared" si="6"/>
        <v>0</v>
      </c>
      <c r="N37" s="14"/>
      <c r="O37" s="15"/>
      <c r="P37" s="16"/>
    </row>
    <row r="38" spans="1:16" x14ac:dyDescent="0.3">
      <c r="A38" s="13"/>
      <c r="B38" s="14" t="s">
        <v>71</v>
      </c>
      <c r="C38" s="15" t="s">
        <v>21</v>
      </c>
      <c r="D38" s="26">
        <v>1669</v>
      </c>
      <c r="E38" s="30" t="s">
        <v>52</v>
      </c>
      <c r="F38" s="19">
        <v>0</v>
      </c>
      <c r="G38" s="26">
        <f t="shared" si="4"/>
        <v>667.6</v>
      </c>
      <c r="H38" s="26">
        <f t="shared" si="7"/>
        <v>667.6</v>
      </c>
      <c r="I38" s="19">
        <v>0</v>
      </c>
      <c r="J38" s="19">
        <v>0</v>
      </c>
      <c r="K38" s="19">
        <v>0</v>
      </c>
      <c r="L38" s="19">
        <v>0</v>
      </c>
      <c r="M38" s="19">
        <f t="shared" si="6"/>
        <v>0</v>
      </c>
      <c r="N38" s="14"/>
      <c r="O38" s="15"/>
      <c r="P38" s="16"/>
    </row>
    <row r="39" spans="1:16" x14ac:dyDescent="0.3">
      <c r="A39" s="13"/>
      <c r="B39" s="14" t="s">
        <v>72</v>
      </c>
      <c r="C39" s="15" t="s">
        <v>42</v>
      </c>
      <c r="D39" s="26">
        <v>773</v>
      </c>
      <c r="E39" s="30" t="s">
        <v>52</v>
      </c>
      <c r="F39" s="19">
        <v>0</v>
      </c>
      <c r="G39" s="26">
        <f t="shared" si="4"/>
        <v>309.20000000000005</v>
      </c>
      <c r="H39" s="26">
        <f t="shared" si="7"/>
        <v>309.20000000000005</v>
      </c>
      <c r="I39" s="19">
        <v>0</v>
      </c>
      <c r="J39" s="19">
        <v>0</v>
      </c>
      <c r="K39" s="19">
        <v>0</v>
      </c>
      <c r="L39" s="19">
        <v>0</v>
      </c>
      <c r="M39" s="19">
        <f t="shared" si="6"/>
        <v>0</v>
      </c>
      <c r="N39" s="14"/>
      <c r="O39" s="15"/>
      <c r="P39" s="16"/>
    </row>
    <row r="40" spans="1:16" x14ac:dyDescent="0.3">
      <c r="A40" s="13"/>
      <c r="B40" s="14" t="s">
        <v>73</v>
      </c>
      <c r="C40" s="15" t="s">
        <v>22</v>
      </c>
      <c r="D40" s="26">
        <v>1146</v>
      </c>
      <c r="E40" s="30" t="s">
        <v>52</v>
      </c>
      <c r="F40" s="19">
        <v>0</v>
      </c>
      <c r="G40" s="26">
        <f t="shared" si="4"/>
        <v>458.40000000000003</v>
      </c>
      <c r="H40" s="26">
        <f t="shared" si="7"/>
        <v>458.40000000000003</v>
      </c>
      <c r="I40" s="19">
        <v>0</v>
      </c>
      <c r="J40" s="19">
        <v>0</v>
      </c>
      <c r="K40" s="19">
        <v>0</v>
      </c>
      <c r="L40" s="19">
        <v>0</v>
      </c>
      <c r="M40" s="19">
        <f t="shared" si="6"/>
        <v>0</v>
      </c>
      <c r="N40" s="14"/>
      <c r="O40" s="15"/>
      <c r="P40" s="16"/>
    </row>
    <row r="41" spans="1:16" x14ac:dyDescent="0.3">
      <c r="A41" s="13"/>
      <c r="B41" s="14" t="s">
        <v>74</v>
      </c>
      <c r="C41" s="15" t="s">
        <v>43</v>
      </c>
      <c r="D41" s="26">
        <v>1189</v>
      </c>
      <c r="E41" s="30" t="s">
        <v>52</v>
      </c>
      <c r="F41" s="19">
        <v>0</v>
      </c>
      <c r="G41" s="26">
        <f t="shared" si="4"/>
        <v>475.6</v>
      </c>
      <c r="H41" s="26">
        <f t="shared" si="7"/>
        <v>475.6</v>
      </c>
      <c r="I41" s="19">
        <v>0</v>
      </c>
      <c r="J41" s="19">
        <v>0</v>
      </c>
      <c r="K41" s="19">
        <v>0</v>
      </c>
      <c r="L41" s="19">
        <v>0</v>
      </c>
      <c r="M41" s="19">
        <f t="shared" si="6"/>
        <v>0</v>
      </c>
      <c r="N41" s="14"/>
      <c r="O41" s="15"/>
      <c r="P41" s="16"/>
    </row>
    <row r="42" spans="1:16" x14ac:dyDescent="0.3">
      <c r="A42" s="13"/>
      <c r="B42" s="14" t="s">
        <v>75</v>
      </c>
      <c r="C42" s="15" t="s">
        <v>44</v>
      </c>
      <c r="D42" s="26">
        <v>1391</v>
      </c>
      <c r="E42" s="30" t="s">
        <v>52</v>
      </c>
      <c r="F42" s="19">
        <v>0</v>
      </c>
      <c r="G42" s="26">
        <f t="shared" si="4"/>
        <v>556.4</v>
      </c>
      <c r="H42" s="26">
        <f t="shared" si="7"/>
        <v>556.4</v>
      </c>
      <c r="I42" s="19">
        <v>0</v>
      </c>
      <c r="J42" s="19">
        <v>0</v>
      </c>
      <c r="K42" s="19">
        <v>0</v>
      </c>
      <c r="L42" s="19">
        <v>0</v>
      </c>
      <c r="M42" s="19">
        <f t="shared" si="6"/>
        <v>0</v>
      </c>
      <c r="N42" s="14"/>
      <c r="O42" s="15"/>
      <c r="P42" s="16"/>
    </row>
    <row r="43" spans="1:16" x14ac:dyDescent="0.3">
      <c r="A43" s="13"/>
      <c r="B43" s="14"/>
      <c r="C43" s="15"/>
      <c r="D43" s="16"/>
      <c r="E43" s="16"/>
      <c r="F43" s="19"/>
      <c r="G43" s="19"/>
      <c r="H43" s="19"/>
      <c r="I43" s="19"/>
      <c r="J43" s="19"/>
      <c r="K43" s="19"/>
      <c r="L43" s="19"/>
      <c r="M43" s="19"/>
      <c r="N43" s="14"/>
      <c r="O43" s="15"/>
      <c r="P43" s="16"/>
    </row>
    <row r="44" spans="1:16" x14ac:dyDescent="0.3">
      <c r="A44" s="13">
        <v>4</v>
      </c>
      <c r="B44" s="14" t="s">
        <v>46</v>
      </c>
      <c r="C44" s="15"/>
      <c r="D44" s="26"/>
      <c r="E44" s="16"/>
      <c r="F44" s="19"/>
      <c r="G44" s="19"/>
      <c r="H44" s="19"/>
      <c r="I44" s="19"/>
      <c r="J44" s="19"/>
      <c r="K44" s="19"/>
      <c r="L44" s="19"/>
      <c r="M44" s="19"/>
      <c r="N44" s="14"/>
      <c r="O44" s="15"/>
      <c r="P44" s="16"/>
    </row>
    <row r="45" spans="1:16" x14ac:dyDescent="0.3">
      <c r="A45" s="13"/>
      <c r="B45" s="14" t="s">
        <v>57</v>
      </c>
      <c r="C45" s="15" t="s">
        <v>29</v>
      </c>
      <c r="D45" s="26">
        <v>175</v>
      </c>
      <c r="E45" s="16" t="s">
        <v>76</v>
      </c>
      <c r="F45" s="26">
        <f t="shared" ref="F45:F50" si="8">15%*D45</f>
        <v>26.25</v>
      </c>
      <c r="G45" s="19">
        <v>0</v>
      </c>
      <c r="H45" s="26">
        <f t="shared" ref="H45:H50" si="9">SUM(F45:G45)</f>
        <v>26.25</v>
      </c>
      <c r="I45" s="19">
        <v>0</v>
      </c>
      <c r="J45" s="19">
        <v>0</v>
      </c>
      <c r="K45" s="19">
        <v>3</v>
      </c>
      <c r="L45" s="19">
        <v>0</v>
      </c>
      <c r="M45" s="19">
        <f>SUM(I45:L45)</f>
        <v>3</v>
      </c>
      <c r="N45" s="14"/>
      <c r="O45" s="15" t="s">
        <v>93</v>
      </c>
      <c r="P45" s="16"/>
    </row>
    <row r="46" spans="1:16" x14ac:dyDescent="0.3">
      <c r="A46" s="13"/>
      <c r="B46" s="14" t="s">
        <v>58</v>
      </c>
      <c r="C46" s="15" t="s">
        <v>33</v>
      </c>
      <c r="D46" s="26">
        <v>270</v>
      </c>
      <c r="E46" s="16" t="s">
        <v>53</v>
      </c>
      <c r="F46" s="26">
        <f t="shared" si="8"/>
        <v>40.5</v>
      </c>
      <c r="G46" s="19">
        <v>0</v>
      </c>
      <c r="H46" s="26">
        <f t="shared" si="9"/>
        <v>40.5</v>
      </c>
      <c r="I46" s="19">
        <v>0</v>
      </c>
      <c r="J46" s="19">
        <v>0</v>
      </c>
      <c r="K46" s="19">
        <v>3</v>
      </c>
      <c r="L46" s="19">
        <v>0</v>
      </c>
      <c r="M46" s="19">
        <f t="shared" ref="M46:M50" si="10">SUM(I46:L46)</f>
        <v>3</v>
      </c>
      <c r="N46" s="14"/>
      <c r="O46" s="15" t="s">
        <v>94</v>
      </c>
      <c r="P46" s="16"/>
    </row>
    <row r="47" spans="1:16" x14ac:dyDescent="0.3">
      <c r="A47" s="13"/>
      <c r="B47" s="14" t="s">
        <v>59</v>
      </c>
      <c r="C47" s="15" t="s">
        <v>42</v>
      </c>
      <c r="D47" s="26">
        <v>798.93</v>
      </c>
      <c r="E47" s="16" t="s">
        <v>53</v>
      </c>
      <c r="F47" s="26">
        <f t="shared" si="8"/>
        <v>119.83949999999999</v>
      </c>
      <c r="G47" s="19">
        <v>0</v>
      </c>
      <c r="H47" s="26">
        <f t="shared" si="9"/>
        <v>119.83949999999999</v>
      </c>
      <c r="I47" s="19">
        <v>0</v>
      </c>
      <c r="J47" s="19">
        <v>5</v>
      </c>
      <c r="K47" s="19">
        <v>0</v>
      </c>
      <c r="L47" s="19">
        <v>0</v>
      </c>
      <c r="M47" s="19">
        <f t="shared" si="10"/>
        <v>5</v>
      </c>
      <c r="N47" s="14"/>
      <c r="O47" s="15"/>
      <c r="P47" s="16"/>
    </row>
    <row r="48" spans="1:16" x14ac:dyDescent="0.3">
      <c r="A48" s="13"/>
      <c r="B48" s="14" t="s">
        <v>60</v>
      </c>
      <c r="C48" s="15" t="s">
        <v>21</v>
      </c>
      <c r="D48" s="26">
        <v>1086.55</v>
      </c>
      <c r="E48" s="16" t="s">
        <v>53</v>
      </c>
      <c r="F48" s="26">
        <f t="shared" si="8"/>
        <v>162.98249999999999</v>
      </c>
      <c r="G48" s="19">
        <v>0</v>
      </c>
      <c r="H48" s="26">
        <f t="shared" si="9"/>
        <v>162.98249999999999</v>
      </c>
      <c r="I48" s="19">
        <v>0</v>
      </c>
      <c r="J48" s="19">
        <v>5</v>
      </c>
      <c r="K48" s="19">
        <v>0</v>
      </c>
      <c r="L48" s="19">
        <v>0</v>
      </c>
      <c r="M48" s="19">
        <f t="shared" si="10"/>
        <v>5</v>
      </c>
      <c r="N48" s="14"/>
      <c r="O48" s="15"/>
      <c r="P48" s="16"/>
    </row>
    <row r="49" spans="1:16" x14ac:dyDescent="0.3">
      <c r="A49" s="16"/>
      <c r="B49" s="14" t="s">
        <v>61</v>
      </c>
      <c r="C49" s="15" t="s">
        <v>22</v>
      </c>
      <c r="D49" s="26">
        <v>1084.55</v>
      </c>
      <c r="E49" s="16" t="s">
        <v>53</v>
      </c>
      <c r="F49" s="26">
        <f t="shared" si="8"/>
        <v>162.68249999999998</v>
      </c>
      <c r="G49" s="19">
        <v>0</v>
      </c>
      <c r="H49" s="26">
        <f t="shared" si="9"/>
        <v>162.68249999999998</v>
      </c>
      <c r="I49" s="19">
        <v>0</v>
      </c>
      <c r="J49" s="19">
        <v>5</v>
      </c>
      <c r="K49" s="19">
        <v>0</v>
      </c>
      <c r="L49" s="19">
        <v>0</v>
      </c>
      <c r="M49" s="19">
        <f t="shared" si="10"/>
        <v>5</v>
      </c>
      <c r="N49" s="14"/>
      <c r="O49" s="15"/>
      <c r="P49" s="16"/>
    </row>
    <row r="50" spans="1:16" x14ac:dyDescent="0.3">
      <c r="A50" s="16"/>
      <c r="B50" s="14" t="s">
        <v>62</v>
      </c>
      <c r="C50" s="15" t="s">
        <v>43</v>
      </c>
      <c r="D50" s="26">
        <v>33</v>
      </c>
      <c r="E50" s="16" t="s">
        <v>53</v>
      </c>
      <c r="F50" s="26">
        <f t="shared" si="8"/>
        <v>4.95</v>
      </c>
      <c r="G50" s="19">
        <v>0</v>
      </c>
      <c r="H50" s="26">
        <f t="shared" si="9"/>
        <v>4.95</v>
      </c>
      <c r="I50" s="19">
        <v>0</v>
      </c>
      <c r="J50" s="19">
        <v>0</v>
      </c>
      <c r="K50" s="19">
        <v>0</v>
      </c>
      <c r="L50" s="19">
        <v>0</v>
      </c>
      <c r="M50" s="19">
        <f t="shared" si="10"/>
        <v>0</v>
      </c>
      <c r="N50" s="14"/>
      <c r="O50" s="15"/>
      <c r="P50" s="16"/>
    </row>
    <row r="51" spans="1:16" ht="8.25" customHeight="1" x14ac:dyDescent="0.3">
      <c r="A51" s="6"/>
      <c r="B51" s="9"/>
      <c r="C51" s="11"/>
      <c r="D51" s="6"/>
      <c r="E51" s="6"/>
      <c r="F51" s="7"/>
      <c r="G51" s="7"/>
      <c r="H51" s="7"/>
      <c r="I51" s="7"/>
      <c r="J51" s="7"/>
      <c r="K51" s="7"/>
      <c r="L51" s="7"/>
      <c r="M51" s="7"/>
      <c r="N51" s="9"/>
      <c r="O51" s="11"/>
      <c r="P51" s="6"/>
    </row>
    <row r="52" spans="1:16" x14ac:dyDescent="0.3">
      <c r="F52" s="2"/>
      <c r="G52" s="2"/>
      <c r="H52" s="2"/>
      <c r="I52" s="2"/>
      <c r="J52" s="2"/>
      <c r="K52" s="2"/>
      <c r="L52" s="2"/>
      <c r="M52" s="2"/>
    </row>
  </sheetData>
  <mergeCells count="11">
    <mergeCell ref="A1:P1"/>
    <mergeCell ref="A6:A7"/>
    <mergeCell ref="B6:C6"/>
    <mergeCell ref="D6:D7"/>
    <mergeCell ref="E6:E7"/>
    <mergeCell ref="F6:H6"/>
    <mergeCell ref="I6:M6"/>
    <mergeCell ref="N6:O7"/>
    <mergeCell ref="P6:P7"/>
    <mergeCell ref="B7:C7"/>
    <mergeCell ref="O20:O21"/>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54"/>
  <sheetViews>
    <sheetView topLeftCell="A43" workbookViewId="0">
      <selection activeCell="A55" sqref="A55:XFD65"/>
    </sheetView>
  </sheetViews>
  <sheetFormatPr defaultColWidth="9.1796875" defaultRowHeight="14" x14ac:dyDescent="0.3"/>
  <cols>
    <col min="1" max="1" width="9.1796875" style="1"/>
    <col min="2" max="2" width="2.1796875" style="1" customWidth="1"/>
    <col min="3" max="3" width="18.81640625" style="1" bestFit="1" customWidth="1"/>
    <col min="4" max="4" width="13.54296875" style="1" customWidth="1"/>
    <col min="5" max="5" width="23.81640625" style="1" customWidth="1"/>
    <col min="6" max="6" width="7.54296875" style="1" bestFit="1" customWidth="1"/>
    <col min="7" max="7" width="8.81640625" style="1" customWidth="1"/>
    <col min="8" max="8" width="7.54296875" style="1" bestFit="1" customWidth="1"/>
    <col min="9" max="9" width="6.453125" style="1" bestFit="1" customWidth="1"/>
    <col min="10" max="10" width="6.81640625" style="1" bestFit="1" customWidth="1"/>
    <col min="11" max="11" width="10" style="1" bestFit="1" customWidth="1"/>
    <col min="12" max="12" width="5.54296875" style="1" bestFit="1" customWidth="1"/>
    <col min="13" max="13" width="6.81640625" style="1" bestFit="1" customWidth="1"/>
    <col min="14" max="14" width="2.1796875" style="1" customWidth="1"/>
    <col min="15" max="15" width="23.54296875" style="1" customWidth="1"/>
    <col min="16" max="16" width="13.7265625" style="1" customWidth="1"/>
    <col min="17" max="16384" width="9.1796875" style="1"/>
  </cols>
  <sheetData>
    <row r="1" spans="1:16" x14ac:dyDescent="0.3">
      <c r="A1" s="385" t="s">
        <v>0</v>
      </c>
      <c r="B1" s="385"/>
      <c r="C1" s="385"/>
      <c r="D1" s="385"/>
      <c r="E1" s="385"/>
      <c r="F1" s="385"/>
      <c r="G1" s="385"/>
      <c r="H1" s="385"/>
      <c r="I1" s="385"/>
      <c r="J1" s="385"/>
      <c r="K1" s="385"/>
      <c r="L1" s="385"/>
      <c r="M1" s="385"/>
      <c r="N1" s="385"/>
      <c r="O1" s="385"/>
      <c r="P1" s="385"/>
    </row>
    <row r="3" spans="1:16" x14ac:dyDescent="0.3">
      <c r="A3" s="1" t="s">
        <v>1</v>
      </c>
      <c r="B3" s="1" t="s">
        <v>78</v>
      </c>
      <c r="C3" s="1" t="s">
        <v>77</v>
      </c>
    </row>
    <row r="4" spans="1:16" x14ac:dyDescent="0.3">
      <c r="A4" s="1" t="s">
        <v>2</v>
      </c>
      <c r="B4" s="1" t="s">
        <v>78</v>
      </c>
      <c r="C4" s="4" t="s">
        <v>194</v>
      </c>
    </row>
    <row r="6" spans="1:16" x14ac:dyDescent="0.3">
      <c r="A6" s="386" t="s">
        <v>3</v>
      </c>
      <c r="B6" s="388" t="s">
        <v>4</v>
      </c>
      <c r="C6" s="388"/>
      <c r="D6" s="389" t="s">
        <v>6</v>
      </c>
      <c r="E6" s="391" t="s">
        <v>7</v>
      </c>
      <c r="F6" s="393" t="s">
        <v>8</v>
      </c>
      <c r="G6" s="393"/>
      <c r="H6" s="393"/>
      <c r="I6" s="393" t="s">
        <v>12</v>
      </c>
      <c r="J6" s="393"/>
      <c r="K6" s="393"/>
      <c r="L6" s="393"/>
      <c r="M6" s="393"/>
      <c r="N6" s="391" t="s">
        <v>17</v>
      </c>
      <c r="O6" s="391"/>
      <c r="P6" s="386" t="s">
        <v>18</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x14ac:dyDescent="0.3">
      <c r="A9" s="13">
        <v>1</v>
      </c>
      <c r="B9" s="14" t="s">
        <v>20</v>
      </c>
      <c r="C9" s="15"/>
      <c r="D9" s="16"/>
      <c r="E9" s="16"/>
      <c r="F9" s="16"/>
      <c r="G9" s="16"/>
      <c r="H9" s="16"/>
      <c r="I9" s="16"/>
      <c r="J9" s="16"/>
      <c r="K9" s="16"/>
      <c r="L9" s="16"/>
      <c r="M9" s="16"/>
      <c r="N9" s="14"/>
      <c r="O9" s="15"/>
      <c r="P9" s="16"/>
    </row>
    <row r="10" spans="1:16" x14ac:dyDescent="0.3">
      <c r="A10" s="13"/>
      <c r="B10" s="17" t="s">
        <v>57</v>
      </c>
      <c r="C10" s="15" t="s">
        <v>21</v>
      </c>
      <c r="D10" s="18">
        <v>403.56</v>
      </c>
      <c r="E10" s="16" t="s">
        <v>36</v>
      </c>
      <c r="F10" s="19">
        <v>0</v>
      </c>
      <c r="G10" s="19">
        <f>12%*D10</f>
        <v>48.427199999999999</v>
      </c>
      <c r="H10" s="19">
        <f>SUM(F10:G10)</f>
        <v>48.427199999999999</v>
      </c>
      <c r="I10" s="19">
        <v>0</v>
      </c>
      <c r="J10" s="19"/>
      <c r="K10" s="19">
        <v>5</v>
      </c>
      <c r="L10" s="19"/>
      <c r="M10" s="20">
        <f>SUM(I10:L10)</f>
        <v>5</v>
      </c>
      <c r="N10" s="17" t="s">
        <v>51</v>
      </c>
      <c r="O10" s="15"/>
      <c r="P10" s="16"/>
    </row>
    <row r="11" spans="1:16" x14ac:dyDescent="0.3">
      <c r="A11" s="13"/>
      <c r="B11" s="14"/>
      <c r="C11" s="15"/>
      <c r="D11" s="18"/>
      <c r="E11" s="16" t="s">
        <v>37</v>
      </c>
      <c r="F11" s="19">
        <v>0</v>
      </c>
      <c r="G11" s="19">
        <f>50%*D10</f>
        <v>201.78</v>
      </c>
      <c r="H11" s="19">
        <f t="shared" ref="H11:H17" si="0">SUM(F11:G11)</f>
        <v>201.78</v>
      </c>
      <c r="I11" s="19">
        <v>0</v>
      </c>
      <c r="J11" s="19">
        <v>0</v>
      </c>
      <c r="K11" s="19">
        <v>0</v>
      </c>
      <c r="L11" s="19">
        <v>0</v>
      </c>
      <c r="M11" s="20">
        <f t="shared" ref="M11:M17" si="1">SUM(I11:L11)</f>
        <v>0</v>
      </c>
      <c r="N11" s="17" t="s">
        <v>51</v>
      </c>
      <c r="O11" s="25" t="s">
        <v>50</v>
      </c>
      <c r="P11" s="16"/>
    </row>
    <row r="12" spans="1:16" x14ac:dyDescent="0.3">
      <c r="A12" s="13"/>
      <c r="B12" s="14"/>
      <c r="C12" s="15"/>
      <c r="D12" s="18"/>
      <c r="E12" s="16" t="s">
        <v>38</v>
      </c>
      <c r="F12" s="19">
        <v>0</v>
      </c>
      <c r="G12" s="19">
        <f>56%*D10</f>
        <v>225.99360000000001</v>
      </c>
      <c r="H12" s="19">
        <f t="shared" si="0"/>
        <v>225.99360000000001</v>
      </c>
      <c r="I12" s="19">
        <v>0</v>
      </c>
      <c r="J12" s="19"/>
      <c r="K12" s="19">
        <v>6</v>
      </c>
      <c r="L12" s="19">
        <v>0</v>
      </c>
      <c r="M12" s="20">
        <f t="shared" si="1"/>
        <v>6</v>
      </c>
      <c r="N12" s="17" t="s">
        <v>51</v>
      </c>
      <c r="O12" s="15" t="s">
        <v>49</v>
      </c>
      <c r="P12" s="16"/>
    </row>
    <row r="13" spans="1:16" ht="28" x14ac:dyDescent="0.3">
      <c r="A13" s="13"/>
      <c r="B13" s="14"/>
      <c r="C13" s="15"/>
      <c r="D13" s="18"/>
      <c r="E13" s="21" t="s">
        <v>39</v>
      </c>
      <c r="F13" s="22">
        <f>11%*D10</f>
        <v>44.391600000000004</v>
      </c>
      <c r="G13" s="22">
        <v>0</v>
      </c>
      <c r="H13" s="22">
        <f t="shared" si="0"/>
        <v>44.391600000000004</v>
      </c>
      <c r="I13" s="22">
        <v>0</v>
      </c>
      <c r="J13" s="22">
        <v>0</v>
      </c>
      <c r="K13" s="22">
        <v>0</v>
      </c>
      <c r="L13" s="22">
        <v>0</v>
      </c>
      <c r="M13" s="23">
        <f t="shared" si="1"/>
        <v>0</v>
      </c>
      <c r="N13" s="24" t="s">
        <v>51</v>
      </c>
      <c r="O13" s="31" t="s">
        <v>48</v>
      </c>
      <c r="P13" s="16"/>
    </row>
    <row r="14" spans="1:16" x14ac:dyDescent="0.3">
      <c r="A14" s="13"/>
      <c r="B14" s="17" t="s">
        <v>58</v>
      </c>
      <c r="C14" s="15" t="s">
        <v>22</v>
      </c>
      <c r="D14" s="18">
        <v>498</v>
      </c>
      <c r="E14" s="16" t="s">
        <v>36</v>
      </c>
      <c r="F14" s="19">
        <v>0</v>
      </c>
      <c r="G14" s="19">
        <f>9%*D14</f>
        <v>44.82</v>
      </c>
      <c r="H14" s="19">
        <f t="shared" si="0"/>
        <v>44.82</v>
      </c>
      <c r="I14" s="19">
        <v>0</v>
      </c>
      <c r="J14" s="19">
        <v>10</v>
      </c>
      <c r="K14" s="19">
        <v>0</v>
      </c>
      <c r="L14" s="19">
        <v>0</v>
      </c>
      <c r="M14" s="20">
        <f t="shared" si="1"/>
        <v>10</v>
      </c>
      <c r="N14" s="14"/>
      <c r="P14" s="16"/>
    </row>
    <row r="15" spans="1:16" x14ac:dyDescent="0.3">
      <c r="A15" s="13"/>
      <c r="B15" s="14"/>
      <c r="C15" s="15"/>
      <c r="D15" s="26"/>
      <c r="E15" s="16" t="s">
        <v>37</v>
      </c>
      <c r="F15" s="19">
        <v>0</v>
      </c>
      <c r="G15" s="19">
        <f>80%*D14</f>
        <v>398.40000000000003</v>
      </c>
      <c r="H15" s="19">
        <f t="shared" si="0"/>
        <v>398.40000000000003</v>
      </c>
      <c r="I15" s="19">
        <v>0</v>
      </c>
      <c r="J15" s="19">
        <v>0</v>
      </c>
      <c r="K15" s="19">
        <v>0</v>
      </c>
      <c r="L15" s="19">
        <v>0</v>
      </c>
      <c r="M15" s="20">
        <f t="shared" si="1"/>
        <v>0</v>
      </c>
      <c r="N15" s="14"/>
      <c r="O15" s="15"/>
      <c r="P15" s="16"/>
    </row>
    <row r="16" spans="1:16" x14ac:dyDescent="0.3">
      <c r="A16" s="13"/>
      <c r="B16" s="14"/>
      <c r="C16" s="15"/>
      <c r="D16" s="26"/>
      <c r="E16" s="16" t="s">
        <v>38</v>
      </c>
      <c r="F16" s="19">
        <v>0</v>
      </c>
      <c r="G16" s="19">
        <f>90%*D14</f>
        <v>448.2</v>
      </c>
      <c r="H16" s="19">
        <f t="shared" si="0"/>
        <v>448.2</v>
      </c>
      <c r="I16" s="19">
        <v>0</v>
      </c>
      <c r="J16" s="19">
        <v>0</v>
      </c>
      <c r="K16" s="19">
        <v>0</v>
      </c>
      <c r="L16" s="19">
        <v>0</v>
      </c>
      <c r="M16" s="20">
        <f t="shared" si="1"/>
        <v>0</v>
      </c>
      <c r="N16" s="14"/>
      <c r="O16" s="15"/>
      <c r="P16" s="16"/>
    </row>
    <row r="17" spans="1:16" ht="28" x14ac:dyDescent="0.3">
      <c r="A17" s="13"/>
      <c r="B17" s="14"/>
      <c r="C17" s="15"/>
      <c r="D17" s="26"/>
      <c r="E17" s="27" t="s">
        <v>39</v>
      </c>
      <c r="F17" s="22">
        <f>11%*D14</f>
        <v>54.78</v>
      </c>
      <c r="G17" s="22">
        <v>0</v>
      </c>
      <c r="H17" s="22">
        <f t="shared" si="0"/>
        <v>54.78</v>
      </c>
      <c r="I17" s="22">
        <v>0</v>
      </c>
      <c r="J17" s="22">
        <v>0</v>
      </c>
      <c r="K17" s="22">
        <v>0</v>
      </c>
      <c r="L17" s="22">
        <v>0</v>
      </c>
      <c r="M17" s="23">
        <f t="shared" si="1"/>
        <v>0</v>
      </c>
      <c r="N17" s="28"/>
      <c r="O17" s="25"/>
      <c r="P17" s="29"/>
    </row>
    <row r="18" spans="1:16" x14ac:dyDescent="0.3">
      <c r="A18" s="13"/>
      <c r="B18" s="14"/>
      <c r="C18" s="15"/>
      <c r="D18" s="26"/>
      <c r="E18" s="16"/>
      <c r="F18" s="16"/>
      <c r="G18" s="16"/>
      <c r="H18" s="16"/>
      <c r="I18" s="16"/>
      <c r="J18" s="16"/>
      <c r="K18" s="16"/>
      <c r="L18" s="16"/>
      <c r="M18" s="16"/>
      <c r="N18" s="14"/>
      <c r="O18" s="15"/>
      <c r="P18" s="16"/>
    </row>
    <row r="19" spans="1:16" x14ac:dyDescent="0.3">
      <c r="A19" s="13">
        <v>2</v>
      </c>
      <c r="B19" s="14" t="s">
        <v>23</v>
      </c>
      <c r="C19" s="15"/>
      <c r="D19" s="26"/>
      <c r="E19" s="16"/>
      <c r="F19" s="16"/>
      <c r="G19" s="16"/>
      <c r="H19" s="16"/>
      <c r="I19" s="16"/>
      <c r="J19" s="16"/>
      <c r="K19" s="16"/>
      <c r="L19" s="16"/>
      <c r="M19" s="16"/>
      <c r="N19" s="14"/>
      <c r="O19" s="15"/>
      <c r="P19" s="16"/>
    </row>
    <row r="20" spans="1:16" x14ac:dyDescent="0.3">
      <c r="A20" s="13"/>
      <c r="B20" s="14" t="s">
        <v>57</v>
      </c>
      <c r="C20" s="15" t="s">
        <v>22</v>
      </c>
      <c r="D20" s="26">
        <v>198</v>
      </c>
      <c r="E20" s="16" t="s">
        <v>40</v>
      </c>
      <c r="F20" s="19">
        <v>0</v>
      </c>
      <c r="G20" s="19">
        <f>87%*D20</f>
        <v>172.26</v>
      </c>
      <c r="H20" s="19">
        <f t="shared" ref="H20:H21" si="2">SUM(F20:G20)</f>
        <v>172.26</v>
      </c>
      <c r="I20" s="19">
        <v>0</v>
      </c>
      <c r="J20" s="19">
        <v>10</v>
      </c>
      <c r="K20" s="19">
        <v>0</v>
      </c>
      <c r="L20" s="19">
        <v>0</v>
      </c>
      <c r="M20" s="20">
        <f t="shared" ref="M20:M21" si="3">SUM(I20:L20)</f>
        <v>10</v>
      </c>
      <c r="N20" s="17" t="s">
        <v>51</v>
      </c>
      <c r="O20" s="396" t="s">
        <v>54</v>
      </c>
      <c r="P20" s="16"/>
    </row>
    <row r="21" spans="1:16" x14ac:dyDescent="0.3">
      <c r="A21" s="13"/>
      <c r="B21" s="14"/>
      <c r="C21" s="15"/>
      <c r="D21" s="26"/>
      <c r="E21" s="16"/>
      <c r="F21" s="19"/>
      <c r="G21" s="19">
        <v>0</v>
      </c>
      <c r="H21" s="19">
        <f t="shared" si="2"/>
        <v>0</v>
      </c>
      <c r="I21" s="19">
        <v>0</v>
      </c>
      <c r="J21" s="19">
        <v>0</v>
      </c>
      <c r="K21" s="19">
        <v>0</v>
      </c>
      <c r="L21" s="19">
        <v>0</v>
      </c>
      <c r="M21" s="20">
        <f t="shared" si="3"/>
        <v>0</v>
      </c>
      <c r="N21" s="14"/>
      <c r="O21" s="397"/>
      <c r="P21" s="16"/>
    </row>
    <row r="22" spans="1:16" x14ac:dyDescent="0.3">
      <c r="A22" s="13"/>
      <c r="B22" s="14"/>
      <c r="C22" s="15"/>
      <c r="D22" s="26"/>
      <c r="E22" s="16"/>
      <c r="F22" s="19"/>
      <c r="G22" s="19"/>
      <c r="H22" s="19"/>
      <c r="I22" s="19"/>
      <c r="J22" s="19"/>
      <c r="K22" s="19"/>
      <c r="L22" s="19"/>
      <c r="M22" s="19"/>
      <c r="N22" s="14"/>
      <c r="O22" s="15"/>
      <c r="P22" s="16"/>
    </row>
    <row r="23" spans="1:16" x14ac:dyDescent="0.3">
      <c r="A23" s="13">
        <v>3</v>
      </c>
      <c r="B23" s="14" t="s">
        <v>19</v>
      </c>
      <c r="C23" s="15"/>
      <c r="D23" s="26"/>
      <c r="E23" s="16"/>
      <c r="F23" s="19"/>
      <c r="G23" s="19"/>
      <c r="H23" s="19"/>
      <c r="I23" s="19"/>
      <c r="J23" s="19"/>
      <c r="K23" s="19"/>
      <c r="L23" s="19"/>
      <c r="M23" s="19"/>
      <c r="N23" s="14"/>
      <c r="O23" s="15"/>
      <c r="P23" s="16"/>
    </row>
    <row r="24" spans="1:16" x14ac:dyDescent="0.3">
      <c r="A24" s="13"/>
      <c r="B24" s="14" t="s">
        <v>57</v>
      </c>
      <c r="C24" s="15" t="s">
        <v>24</v>
      </c>
      <c r="D24" s="26">
        <v>1372.2</v>
      </c>
      <c r="E24" s="30" t="s">
        <v>52</v>
      </c>
      <c r="F24" s="19">
        <v>0</v>
      </c>
      <c r="G24" s="26">
        <f t="shared" ref="G24:G39" si="4">44%*D24</f>
        <v>603.76800000000003</v>
      </c>
      <c r="H24" s="26">
        <f t="shared" ref="H24:H39" si="5">SUM(F24:G24)</f>
        <v>603.76800000000003</v>
      </c>
      <c r="I24" s="19">
        <v>0</v>
      </c>
      <c r="J24" s="19">
        <v>0</v>
      </c>
      <c r="K24" s="19">
        <v>0</v>
      </c>
      <c r="L24" s="19">
        <v>0</v>
      </c>
      <c r="M24" s="19">
        <f>SUM(I24:L24)</f>
        <v>0</v>
      </c>
      <c r="N24" s="14"/>
      <c r="O24" s="15"/>
      <c r="P24" s="16"/>
    </row>
    <row r="25" spans="1:16" x14ac:dyDescent="0.3">
      <c r="A25" s="13"/>
      <c r="B25" s="14" t="s">
        <v>58</v>
      </c>
      <c r="C25" s="15" t="s">
        <v>25</v>
      </c>
      <c r="D25" s="26">
        <v>995.2</v>
      </c>
      <c r="E25" s="30" t="s">
        <v>52</v>
      </c>
      <c r="F25" s="19">
        <v>0</v>
      </c>
      <c r="G25" s="26">
        <f t="shared" si="4"/>
        <v>437.88800000000003</v>
      </c>
      <c r="H25" s="26">
        <f t="shared" si="5"/>
        <v>437.88800000000003</v>
      </c>
      <c r="I25" s="19">
        <v>0</v>
      </c>
      <c r="J25" s="19">
        <v>0</v>
      </c>
      <c r="K25" s="19">
        <v>0</v>
      </c>
      <c r="L25" s="19">
        <v>0</v>
      </c>
      <c r="M25" s="19">
        <f t="shared" ref="M25:M44" si="6">SUM(I25:L25)</f>
        <v>0</v>
      </c>
      <c r="N25" s="14"/>
      <c r="O25" s="15" t="s">
        <v>138</v>
      </c>
      <c r="P25" s="16"/>
    </row>
    <row r="26" spans="1:16" x14ac:dyDescent="0.3">
      <c r="A26" s="13"/>
      <c r="B26" s="14" t="s">
        <v>59</v>
      </c>
      <c r="C26" s="15" t="s">
        <v>26</v>
      </c>
      <c r="D26" s="26">
        <v>716.5</v>
      </c>
      <c r="E26" s="30" t="s">
        <v>52</v>
      </c>
      <c r="F26" s="19">
        <v>0</v>
      </c>
      <c r="G26" s="26">
        <f t="shared" si="4"/>
        <v>315.26</v>
      </c>
      <c r="H26" s="26">
        <f t="shared" si="5"/>
        <v>315.26</v>
      </c>
      <c r="I26" s="19">
        <v>0</v>
      </c>
      <c r="J26" s="19">
        <v>0</v>
      </c>
      <c r="K26" s="19">
        <v>0</v>
      </c>
      <c r="L26" s="19">
        <v>0</v>
      </c>
      <c r="M26" s="19">
        <f t="shared" si="6"/>
        <v>0</v>
      </c>
      <c r="N26" s="14"/>
      <c r="O26" s="15" t="s">
        <v>133</v>
      </c>
      <c r="P26" s="16"/>
    </row>
    <row r="27" spans="1:16" x14ac:dyDescent="0.3">
      <c r="A27" s="13"/>
      <c r="B27" s="14" t="s">
        <v>60</v>
      </c>
      <c r="C27" s="15" t="s">
        <v>55</v>
      </c>
      <c r="D27" s="26">
        <v>955.3</v>
      </c>
      <c r="E27" s="30" t="s">
        <v>52</v>
      </c>
      <c r="F27" s="19">
        <v>0</v>
      </c>
      <c r="G27" s="26">
        <f t="shared" si="4"/>
        <v>420.33199999999999</v>
      </c>
      <c r="H27" s="26">
        <f t="shared" si="5"/>
        <v>420.33199999999999</v>
      </c>
      <c r="I27" s="19">
        <v>0</v>
      </c>
      <c r="J27" s="19">
        <v>0</v>
      </c>
      <c r="K27" s="19">
        <v>0</v>
      </c>
      <c r="L27" s="19">
        <v>0</v>
      </c>
      <c r="M27" s="19">
        <f t="shared" si="6"/>
        <v>0</v>
      </c>
      <c r="N27" s="14"/>
      <c r="O27" s="15"/>
      <c r="P27" s="16"/>
    </row>
    <row r="28" spans="1:16" x14ac:dyDescent="0.3">
      <c r="A28" s="13"/>
      <c r="B28" s="14" t="s">
        <v>61</v>
      </c>
      <c r="C28" s="15" t="s">
        <v>27</v>
      </c>
      <c r="D28" s="26">
        <v>901.2</v>
      </c>
      <c r="E28" s="30" t="s">
        <v>52</v>
      </c>
      <c r="F28" s="19">
        <v>0</v>
      </c>
      <c r="G28" s="26">
        <f t="shared" si="4"/>
        <v>396.52800000000002</v>
      </c>
      <c r="H28" s="26">
        <f t="shared" si="5"/>
        <v>396.52800000000002</v>
      </c>
      <c r="I28" s="19">
        <v>0</v>
      </c>
      <c r="J28" s="19">
        <v>5</v>
      </c>
      <c r="K28" s="19">
        <v>0</v>
      </c>
      <c r="L28" s="19">
        <v>0</v>
      </c>
      <c r="M28" s="19">
        <f t="shared" si="6"/>
        <v>5</v>
      </c>
      <c r="N28" s="14"/>
      <c r="O28" s="15"/>
      <c r="P28" s="16"/>
    </row>
    <row r="29" spans="1:16" x14ac:dyDescent="0.3">
      <c r="A29" s="13"/>
      <c r="B29" s="14" t="s">
        <v>62</v>
      </c>
      <c r="C29" s="15" t="s">
        <v>28</v>
      </c>
      <c r="D29" s="26">
        <v>871</v>
      </c>
      <c r="E29" s="30" t="s">
        <v>52</v>
      </c>
      <c r="F29" s="19">
        <v>0</v>
      </c>
      <c r="G29" s="26">
        <f t="shared" si="4"/>
        <v>383.24</v>
      </c>
      <c r="H29" s="26">
        <f t="shared" si="5"/>
        <v>383.24</v>
      </c>
      <c r="I29" s="19">
        <v>0</v>
      </c>
      <c r="J29" s="19">
        <v>0</v>
      </c>
      <c r="K29" s="19">
        <v>0</v>
      </c>
      <c r="L29" s="19">
        <v>0</v>
      </c>
      <c r="M29" s="19">
        <f t="shared" si="6"/>
        <v>0</v>
      </c>
      <c r="N29" s="14"/>
      <c r="O29" s="15"/>
      <c r="P29" s="16"/>
    </row>
    <row r="30" spans="1:16" x14ac:dyDescent="0.3">
      <c r="A30" s="13"/>
      <c r="B30" s="14" t="s">
        <v>63</v>
      </c>
      <c r="C30" s="15" t="s">
        <v>29</v>
      </c>
      <c r="D30" s="26">
        <v>1516</v>
      </c>
      <c r="E30" s="30" t="s">
        <v>52</v>
      </c>
      <c r="F30" s="19">
        <v>0</v>
      </c>
      <c r="G30" s="26">
        <f t="shared" si="4"/>
        <v>667.04</v>
      </c>
      <c r="H30" s="26">
        <f t="shared" si="5"/>
        <v>667.04</v>
      </c>
      <c r="I30" s="19">
        <v>0</v>
      </c>
      <c r="J30" s="19">
        <v>0</v>
      </c>
      <c r="K30" s="19">
        <v>0</v>
      </c>
      <c r="L30" s="19">
        <v>0</v>
      </c>
      <c r="M30" s="19">
        <f t="shared" si="6"/>
        <v>0</v>
      </c>
      <c r="N30" s="14"/>
      <c r="O30" s="15"/>
      <c r="P30" s="16"/>
    </row>
    <row r="31" spans="1:16" x14ac:dyDescent="0.3">
      <c r="A31" s="13"/>
      <c r="B31" s="14" t="s">
        <v>64</v>
      </c>
      <c r="C31" s="15" t="s">
        <v>56</v>
      </c>
      <c r="D31" s="26">
        <v>97.2</v>
      </c>
      <c r="E31" s="30" t="s">
        <v>52</v>
      </c>
      <c r="F31" s="19">
        <v>0</v>
      </c>
      <c r="G31" s="26">
        <f t="shared" si="4"/>
        <v>42.768000000000001</v>
      </c>
      <c r="H31" s="26">
        <f t="shared" si="5"/>
        <v>42.768000000000001</v>
      </c>
      <c r="I31" s="19">
        <v>0</v>
      </c>
      <c r="J31" s="19">
        <v>0</v>
      </c>
      <c r="K31" s="19">
        <v>0</v>
      </c>
      <c r="L31" s="19">
        <v>0</v>
      </c>
      <c r="M31" s="19">
        <f t="shared" si="6"/>
        <v>0</v>
      </c>
      <c r="N31" s="14"/>
      <c r="O31" s="15"/>
      <c r="P31" s="16"/>
    </row>
    <row r="32" spans="1:16" x14ac:dyDescent="0.3">
      <c r="A32" s="13"/>
      <c r="B32" s="14" t="s">
        <v>65</v>
      </c>
      <c r="C32" s="15" t="s">
        <v>30</v>
      </c>
      <c r="D32" s="26">
        <v>1502.3</v>
      </c>
      <c r="E32" s="30" t="s">
        <v>52</v>
      </c>
      <c r="F32" s="19">
        <v>0</v>
      </c>
      <c r="G32" s="26">
        <f t="shared" si="4"/>
        <v>661.01199999999994</v>
      </c>
      <c r="H32" s="26">
        <f t="shared" si="5"/>
        <v>661.01199999999994</v>
      </c>
      <c r="I32" s="19">
        <v>0</v>
      </c>
      <c r="J32" s="19">
        <v>0</v>
      </c>
      <c r="K32" s="19">
        <v>0</v>
      </c>
      <c r="L32" s="19">
        <v>0</v>
      </c>
      <c r="M32" s="19">
        <f t="shared" si="6"/>
        <v>0</v>
      </c>
      <c r="N32" s="14"/>
      <c r="O32" s="15"/>
      <c r="P32" s="16"/>
    </row>
    <row r="33" spans="1:16" x14ac:dyDescent="0.3">
      <c r="A33" s="13"/>
      <c r="B33" s="14" t="s">
        <v>66</v>
      </c>
      <c r="C33" s="15" t="s">
        <v>31</v>
      </c>
      <c r="D33" s="26">
        <v>1518</v>
      </c>
      <c r="E33" s="30" t="s">
        <v>52</v>
      </c>
      <c r="F33" s="19">
        <v>0</v>
      </c>
      <c r="G33" s="26">
        <f t="shared" si="4"/>
        <v>667.92</v>
      </c>
      <c r="H33" s="26">
        <f t="shared" si="5"/>
        <v>667.92</v>
      </c>
      <c r="I33" s="19">
        <v>0</v>
      </c>
      <c r="J33" s="19">
        <v>0</v>
      </c>
      <c r="K33" s="19">
        <v>0</v>
      </c>
      <c r="L33" s="19">
        <v>0</v>
      </c>
      <c r="M33" s="19">
        <f t="shared" si="6"/>
        <v>0</v>
      </c>
      <c r="N33" s="14"/>
      <c r="O33" s="15"/>
      <c r="P33" s="16"/>
    </row>
    <row r="34" spans="1:16" x14ac:dyDescent="0.3">
      <c r="A34" s="13"/>
      <c r="B34" s="14" t="s">
        <v>67</v>
      </c>
      <c r="C34" s="15" t="s">
        <v>32</v>
      </c>
      <c r="D34" s="26">
        <v>997.4</v>
      </c>
      <c r="E34" s="30" t="s">
        <v>52</v>
      </c>
      <c r="F34" s="19">
        <v>0</v>
      </c>
      <c r="G34" s="26">
        <f t="shared" si="4"/>
        <v>438.85599999999999</v>
      </c>
      <c r="H34" s="26">
        <f t="shared" si="5"/>
        <v>438.85599999999999</v>
      </c>
      <c r="I34" s="19">
        <v>0</v>
      </c>
      <c r="J34" s="19">
        <v>0</v>
      </c>
      <c r="K34" s="19">
        <v>0</v>
      </c>
      <c r="L34" s="19">
        <v>0</v>
      </c>
      <c r="M34" s="19">
        <f t="shared" si="6"/>
        <v>0</v>
      </c>
      <c r="N34" s="14"/>
      <c r="O34" s="15"/>
      <c r="P34" s="16"/>
    </row>
    <row r="35" spans="1:16" x14ac:dyDescent="0.3">
      <c r="A35" s="13"/>
      <c r="B35" s="14" t="s">
        <v>68</v>
      </c>
      <c r="C35" s="15" t="s">
        <v>33</v>
      </c>
      <c r="D35" s="26">
        <v>1304</v>
      </c>
      <c r="E35" s="30" t="s">
        <v>52</v>
      </c>
      <c r="F35" s="19">
        <v>0</v>
      </c>
      <c r="G35" s="26">
        <f t="shared" si="4"/>
        <v>573.76</v>
      </c>
      <c r="H35" s="26">
        <f t="shared" si="5"/>
        <v>573.76</v>
      </c>
      <c r="I35" s="19">
        <v>0</v>
      </c>
      <c r="J35" s="19">
        <v>0</v>
      </c>
      <c r="K35" s="19">
        <v>0</v>
      </c>
      <c r="L35" s="19">
        <v>0</v>
      </c>
      <c r="M35" s="19">
        <f t="shared" si="6"/>
        <v>0</v>
      </c>
      <c r="N35" s="14"/>
      <c r="O35" s="15"/>
      <c r="P35" s="16"/>
    </row>
    <row r="36" spans="1:16" x14ac:dyDescent="0.3">
      <c r="A36" s="13"/>
      <c r="B36" s="14" t="s">
        <v>69</v>
      </c>
      <c r="C36" s="15" t="s">
        <v>34</v>
      </c>
      <c r="D36" s="26">
        <v>1704</v>
      </c>
      <c r="E36" s="30" t="s">
        <v>52</v>
      </c>
      <c r="F36" s="19">
        <v>0</v>
      </c>
      <c r="G36" s="26">
        <f t="shared" si="4"/>
        <v>749.76</v>
      </c>
      <c r="H36" s="26">
        <f t="shared" si="5"/>
        <v>749.76</v>
      </c>
      <c r="I36" s="19">
        <v>0</v>
      </c>
      <c r="J36" s="19">
        <v>0</v>
      </c>
      <c r="K36" s="19">
        <v>0</v>
      </c>
      <c r="L36" s="19">
        <v>0</v>
      </c>
      <c r="M36" s="19">
        <f t="shared" si="6"/>
        <v>0</v>
      </c>
      <c r="N36" s="14"/>
      <c r="O36" s="15"/>
      <c r="P36" s="16"/>
    </row>
    <row r="37" spans="1:16" x14ac:dyDescent="0.3">
      <c r="A37" s="13"/>
      <c r="B37" s="14" t="s">
        <v>70</v>
      </c>
      <c r="C37" s="15" t="s">
        <v>35</v>
      </c>
      <c r="D37" s="26">
        <v>1557</v>
      </c>
      <c r="E37" s="30" t="s">
        <v>52</v>
      </c>
      <c r="F37" s="19">
        <v>0</v>
      </c>
      <c r="G37" s="26">
        <f t="shared" si="4"/>
        <v>685.08</v>
      </c>
      <c r="H37" s="26">
        <f t="shared" si="5"/>
        <v>685.08</v>
      </c>
      <c r="I37" s="19">
        <v>0</v>
      </c>
      <c r="J37" s="19">
        <v>0</v>
      </c>
      <c r="K37" s="19">
        <v>0</v>
      </c>
      <c r="L37" s="19">
        <v>0</v>
      </c>
      <c r="M37" s="19">
        <f t="shared" si="6"/>
        <v>0</v>
      </c>
      <c r="N37" s="14"/>
      <c r="O37" s="15"/>
      <c r="P37" s="16"/>
    </row>
    <row r="38" spans="1:16" x14ac:dyDescent="0.3">
      <c r="A38" s="13"/>
      <c r="B38" s="14" t="s">
        <v>71</v>
      </c>
      <c r="C38" s="15" t="s">
        <v>21</v>
      </c>
      <c r="D38" s="26">
        <v>1669</v>
      </c>
      <c r="E38" s="30" t="s">
        <v>52</v>
      </c>
      <c r="F38" s="19">
        <v>0</v>
      </c>
      <c r="G38" s="26">
        <f t="shared" si="4"/>
        <v>734.36</v>
      </c>
      <c r="H38" s="26">
        <f t="shared" si="5"/>
        <v>734.36</v>
      </c>
      <c r="I38" s="19">
        <v>0</v>
      </c>
      <c r="J38" s="19">
        <v>0</v>
      </c>
      <c r="K38" s="19">
        <v>0</v>
      </c>
      <c r="L38" s="19">
        <v>0</v>
      </c>
      <c r="M38" s="19">
        <f t="shared" si="6"/>
        <v>0</v>
      </c>
      <c r="N38" s="14"/>
      <c r="O38" s="15"/>
      <c r="P38" s="16"/>
    </row>
    <row r="39" spans="1:16" x14ac:dyDescent="0.3">
      <c r="A39" s="13"/>
      <c r="B39" s="14" t="s">
        <v>72</v>
      </c>
      <c r="C39" s="15" t="s">
        <v>42</v>
      </c>
      <c r="D39" s="26">
        <v>773</v>
      </c>
      <c r="E39" s="30" t="s">
        <v>52</v>
      </c>
      <c r="F39" s="19">
        <v>0</v>
      </c>
      <c r="G39" s="26">
        <f t="shared" si="4"/>
        <v>340.12</v>
      </c>
      <c r="H39" s="26">
        <f t="shared" si="5"/>
        <v>340.12</v>
      </c>
      <c r="I39" s="19">
        <v>0</v>
      </c>
      <c r="J39" s="19">
        <v>0</v>
      </c>
      <c r="K39" s="19">
        <v>0</v>
      </c>
      <c r="L39" s="19">
        <v>0</v>
      </c>
      <c r="M39" s="19">
        <f t="shared" si="6"/>
        <v>0</v>
      </c>
      <c r="N39" s="14"/>
      <c r="O39" s="15"/>
      <c r="P39" s="16"/>
    </row>
    <row r="40" spans="1:16" x14ac:dyDescent="0.3">
      <c r="A40" s="13"/>
      <c r="B40" s="14"/>
      <c r="C40" s="15"/>
      <c r="D40" s="26"/>
      <c r="E40" s="16" t="s">
        <v>45</v>
      </c>
      <c r="F40" s="19">
        <v>0</v>
      </c>
      <c r="G40" s="26">
        <v>65</v>
      </c>
      <c r="H40" s="26">
        <f t="shared" ref="H40:H42" si="7">SUM(F40:G40)</f>
        <v>65</v>
      </c>
      <c r="I40" s="19">
        <v>0</v>
      </c>
      <c r="J40" s="19">
        <v>0</v>
      </c>
      <c r="K40" s="19">
        <v>0</v>
      </c>
      <c r="L40" s="19">
        <v>0</v>
      </c>
      <c r="M40" s="19">
        <f t="shared" si="6"/>
        <v>0</v>
      </c>
      <c r="N40" s="14"/>
      <c r="O40" s="15"/>
      <c r="P40" s="16"/>
    </row>
    <row r="41" spans="1:16" x14ac:dyDescent="0.3">
      <c r="A41" s="13"/>
      <c r="B41" s="14" t="s">
        <v>73</v>
      </c>
      <c r="C41" s="15" t="s">
        <v>22</v>
      </c>
      <c r="D41" s="26">
        <v>1146</v>
      </c>
      <c r="E41" s="30" t="s">
        <v>52</v>
      </c>
      <c r="F41" s="19">
        <v>0</v>
      </c>
      <c r="G41" s="26">
        <f>44%*D41</f>
        <v>504.24</v>
      </c>
      <c r="H41" s="26">
        <f>SUM(F41:G41)</f>
        <v>504.24</v>
      </c>
      <c r="I41" s="19">
        <v>0</v>
      </c>
      <c r="J41" s="19">
        <v>10</v>
      </c>
      <c r="K41" s="19">
        <v>0</v>
      </c>
      <c r="L41" s="19">
        <v>0</v>
      </c>
      <c r="M41" s="19">
        <f t="shared" si="6"/>
        <v>10</v>
      </c>
      <c r="N41" s="14"/>
      <c r="O41" s="15"/>
      <c r="P41" s="16"/>
    </row>
    <row r="42" spans="1:16" x14ac:dyDescent="0.3">
      <c r="A42" s="13"/>
      <c r="B42" s="14"/>
      <c r="C42" s="15"/>
      <c r="D42" s="26"/>
      <c r="E42" s="16" t="s">
        <v>45</v>
      </c>
      <c r="F42" s="19">
        <v>0</v>
      </c>
      <c r="G42" s="26">
        <v>55</v>
      </c>
      <c r="H42" s="26">
        <f t="shared" si="7"/>
        <v>55</v>
      </c>
      <c r="I42" s="19">
        <v>0</v>
      </c>
      <c r="J42" s="19">
        <v>0</v>
      </c>
      <c r="K42" s="19">
        <v>0</v>
      </c>
      <c r="L42" s="19">
        <v>0</v>
      </c>
      <c r="M42" s="19">
        <f t="shared" si="6"/>
        <v>0</v>
      </c>
      <c r="N42" s="14"/>
      <c r="O42" s="15"/>
      <c r="P42" s="16"/>
    </row>
    <row r="43" spans="1:16" x14ac:dyDescent="0.3">
      <c r="A43" s="13"/>
      <c r="B43" s="14" t="s">
        <v>74</v>
      </c>
      <c r="C43" s="15" t="s">
        <v>43</v>
      </c>
      <c r="D43" s="26">
        <v>1189</v>
      </c>
      <c r="E43" s="30" t="s">
        <v>52</v>
      </c>
      <c r="F43" s="19">
        <v>0</v>
      </c>
      <c r="G43" s="26">
        <f>44%*D43</f>
        <v>523.16</v>
      </c>
      <c r="H43" s="26">
        <f>SUM(F43:G43)</f>
        <v>523.16</v>
      </c>
      <c r="I43" s="19">
        <v>0</v>
      </c>
      <c r="J43" s="19">
        <v>0</v>
      </c>
      <c r="K43" s="19">
        <v>0</v>
      </c>
      <c r="L43" s="19">
        <v>0</v>
      </c>
      <c r="M43" s="19">
        <f t="shared" si="6"/>
        <v>0</v>
      </c>
      <c r="N43" s="14"/>
      <c r="O43" s="15"/>
      <c r="P43" s="16"/>
    </row>
    <row r="44" spans="1:16" x14ac:dyDescent="0.3">
      <c r="A44" s="13"/>
      <c r="B44" s="14" t="s">
        <v>75</v>
      </c>
      <c r="C44" s="15" t="s">
        <v>44</v>
      </c>
      <c r="D44" s="26">
        <v>1391</v>
      </c>
      <c r="E44" s="30" t="s">
        <v>52</v>
      </c>
      <c r="F44" s="19">
        <v>0</v>
      </c>
      <c r="G44" s="26">
        <f>44%*D44</f>
        <v>612.04</v>
      </c>
      <c r="H44" s="26">
        <f>SUM(F44:G44)</f>
        <v>612.04</v>
      </c>
      <c r="I44" s="19">
        <v>0</v>
      </c>
      <c r="J44" s="19">
        <v>5</v>
      </c>
      <c r="K44" s="19">
        <v>0</v>
      </c>
      <c r="L44" s="19">
        <v>0</v>
      </c>
      <c r="M44" s="19">
        <f t="shared" si="6"/>
        <v>5</v>
      </c>
      <c r="N44" s="14"/>
      <c r="O44" s="15"/>
      <c r="P44" s="16"/>
    </row>
    <row r="45" spans="1:16" x14ac:dyDescent="0.3">
      <c r="A45" s="13"/>
      <c r="B45" s="14"/>
      <c r="C45" s="15"/>
      <c r="D45" s="16"/>
      <c r="E45" s="16"/>
      <c r="F45" s="19"/>
      <c r="G45" s="19"/>
      <c r="H45" s="19"/>
      <c r="I45" s="19"/>
      <c r="J45" s="19"/>
      <c r="K45" s="19"/>
      <c r="L45" s="19"/>
      <c r="M45" s="19"/>
      <c r="N45" s="14"/>
      <c r="O45" s="15"/>
      <c r="P45" s="16"/>
    </row>
    <row r="46" spans="1:16" x14ac:dyDescent="0.3">
      <c r="A46" s="13">
        <v>4</v>
      </c>
      <c r="B46" s="14" t="s">
        <v>46</v>
      </c>
      <c r="C46" s="15"/>
      <c r="D46" s="26"/>
      <c r="E46" s="16"/>
      <c r="F46" s="19"/>
      <c r="G46" s="19"/>
      <c r="H46" s="19"/>
      <c r="I46" s="19"/>
      <c r="J46" s="19"/>
      <c r="K46" s="19"/>
      <c r="L46" s="19"/>
      <c r="M46" s="19"/>
      <c r="N46" s="14"/>
      <c r="O46" s="15"/>
      <c r="P46" s="16"/>
    </row>
    <row r="47" spans="1:16" x14ac:dyDescent="0.3">
      <c r="A47" s="13"/>
      <c r="B47" s="14" t="s">
        <v>57</v>
      </c>
      <c r="C47" s="15" t="s">
        <v>29</v>
      </c>
      <c r="D47" s="26">
        <v>175</v>
      </c>
      <c r="E47" s="16" t="s">
        <v>76</v>
      </c>
      <c r="F47" s="26">
        <f>10%*D47</f>
        <v>17.5</v>
      </c>
      <c r="G47" s="26">
        <v>0</v>
      </c>
      <c r="H47" s="26">
        <f t="shared" ref="H47:H52" si="8">SUM(F47:G47)</f>
        <v>17.5</v>
      </c>
      <c r="I47" s="19">
        <v>0</v>
      </c>
      <c r="J47" s="19">
        <v>0</v>
      </c>
      <c r="K47" s="19">
        <v>0</v>
      </c>
      <c r="L47" s="19">
        <v>0</v>
      </c>
      <c r="M47" s="19">
        <f>SUM(I47:L47)</f>
        <v>0</v>
      </c>
      <c r="N47" s="14"/>
      <c r="O47" s="15" t="s">
        <v>93</v>
      </c>
      <c r="P47" s="16"/>
    </row>
    <row r="48" spans="1:16" x14ac:dyDescent="0.3">
      <c r="A48" s="13"/>
      <c r="B48" s="14" t="s">
        <v>58</v>
      </c>
      <c r="C48" s="15" t="s">
        <v>33</v>
      </c>
      <c r="D48" s="26">
        <v>270</v>
      </c>
      <c r="E48" s="16" t="s">
        <v>53</v>
      </c>
      <c r="F48" s="26">
        <f>9%*D48</f>
        <v>24.3</v>
      </c>
      <c r="G48" s="26">
        <v>0</v>
      </c>
      <c r="H48" s="26">
        <f t="shared" si="8"/>
        <v>24.3</v>
      </c>
      <c r="I48" s="19">
        <v>0</v>
      </c>
      <c r="J48" s="19">
        <v>0</v>
      </c>
      <c r="K48" s="19">
        <v>0</v>
      </c>
      <c r="L48" s="19">
        <v>0</v>
      </c>
      <c r="M48" s="19">
        <f t="shared" ref="M48:M52" si="9">SUM(I48:L48)</f>
        <v>0</v>
      </c>
      <c r="N48" s="14"/>
      <c r="O48" s="15" t="s">
        <v>94</v>
      </c>
      <c r="P48" s="16"/>
    </row>
    <row r="49" spans="1:16" x14ac:dyDescent="0.3">
      <c r="A49" s="13"/>
      <c r="B49" s="14" t="s">
        <v>59</v>
      </c>
      <c r="C49" s="15" t="s">
        <v>42</v>
      </c>
      <c r="D49" s="26">
        <v>798.93</v>
      </c>
      <c r="E49" s="16" t="s">
        <v>53</v>
      </c>
      <c r="F49" s="26">
        <f>8%*D49</f>
        <v>63.914400000000001</v>
      </c>
      <c r="G49" s="26">
        <v>0</v>
      </c>
      <c r="H49" s="26">
        <f t="shared" si="8"/>
        <v>63.914400000000001</v>
      </c>
      <c r="I49" s="19">
        <v>0</v>
      </c>
      <c r="J49" s="19">
        <v>4</v>
      </c>
      <c r="K49" s="19">
        <v>0</v>
      </c>
      <c r="L49" s="19">
        <v>0</v>
      </c>
      <c r="M49" s="19">
        <f t="shared" si="9"/>
        <v>4</v>
      </c>
      <c r="N49" s="14"/>
      <c r="O49" s="15"/>
      <c r="P49" s="16"/>
    </row>
    <row r="50" spans="1:16" x14ac:dyDescent="0.3">
      <c r="A50" s="13"/>
      <c r="B50" s="14" t="s">
        <v>60</v>
      </c>
      <c r="C50" s="15" t="s">
        <v>21</v>
      </c>
      <c r="D50" s="26">
        <v>1086.55</v>
      </c>
      <c r="E50" s="16" t="s">
        <v>53</v>
      </c>
      <c r="F50" s="26">
        <f>7%*D50</f>
        <v>76.058500000000009</v>
      </c>
      <c r="G50" s="26">
        <v>0</v>
      </c>
      <c r="H50" s="26">
        <f t="shared" si="8"/>
        <v>76.058500000000009</v>
      </c>
      <c r="I50" s="19">
        <v>0</v>
      </c>
      <c r="J50" s="19">
        <v>4</v>
      </c>
      <c r="K50" s="19">
        <v>0</v>
      </c>
      <c r="L50" s="19">
        <v>0</v>
      </c>
      <c r="M50" s="19">
        <f t="shared" si="9"/>
        <v>4</v>
      </c>
      <c r="N50" s="14"/>
      <c r="O50" s="15"/>
      <c r="P50" s="16"/>
    </row>
    <row r="51" spans="1:16" x14ac:dyDescent="0.3">
      <c r="A51" s="16"/>
      <c r="B51" s="14" t="s">
        <v>61</v>
      </c>
      <c r="C51" s="15" t="s">
        <v>22</v>
      </c>
      <c r="D51" s="26">
        <v>1084.55</v>
      </c>
      <c r="E51" s="16" t="s">
        <v>53</v>
      </c>
      <c r="F51" s="26">
        <f>7%*D51</f>
        <v>75.918500000000009</v>
      </c>
      <c r="G51" s="26">
        <v>0</v>
      </c>
      <c r="H51" s="26">
        <f t="shared" si="8"/>
        <v>75.918500000000009</v>
      </c>
      <c r="I51" s="19">
        <v>0</v>
      </c>
      <c r="J51" s="19">
        <v>4</v>
      </c>
      <c r="K51" s="19">
        <v>0</v>
      </c>
      <c r="L51" s="19">
        <v>0</v>
      </c>
      <c r="M51" s="19">
        <f t="shared" si="9"/>
        <v>4</v>
      </c>
      <c r="N51" s="14"/>
      <c r="O51" s="15"/>
      <c r="P51" s="16"/>
    </row>
    <row r="52" spans="1:16" x14ac:dyDescent="0.3">
      <c r="A52" s="16"/>
      <c r="B52" s="14" t="s">
        <v>62</v>
      </c>
      <c r="C52" s="15" t="s">
        <v>43</v>
      </c>
      <c r="D52" s="26">
        <v>33</v>
      </c>
      <c r="E52" s="16" t="s">
        <v>53</v>
      </c>
      <c r="F52" s="26">
        <f>10%*D52</f>
        <v>3.3000000000000003</v>
      </c>
      <c r="G52" s="26">
        <v>0</v>
      </c>
      <c r="H52" s="26">
        <f t="shared" si="8"/>
        <v>3.3000000000000003</v>
      </c>
      <c r="I52" s="19">
        <v>0</v>
      </c>
      <c r="J52" s="19">
        <v>0</v>
      </c>
      <c r="K52" s="19">
        <v>0</v>
      </c>
      <c r="L52" s="19">
        <v>0</v>
      </c>
      <c r="M52" s="19">
        <f t="shared" si="9"/>
        <v>0</v>
      </c>
      <c r="N52" s="14"/>
      <c r="O52" s="15"/>
      <c r="P52" s="16"/>
    </row>
    <row r="53" spans="1:16" ht="8.25" customHeight="1" x14ac:dyDescent="0.3">
      <c r="A53" s="6"/>
      <c r="B53" s="9"/>
      <c r="C53" s="11"/>
      <c r="D53" s="6"/>
      <c r="E53" s="6"/>
      <c r="F53" s="7"/>
      <c r="G53" s="7"/>
      <c r="H53" s="7"/>
      <c r="I53" s="7"/>
      <c r="J53" s="7"/>
      <c r="K53" s="7"/>
      <c r="L53" s="7"/>
      <c r="M53" s="7"/>
      <c r="N53" s="9"/>
      <c r="O53" s="11"/>
      <c r="P53" s="6"/>
    </row>
    <row r="54" spans="1:16" x14ac:dyDescent="0.3">
      <c r="F54" s="2"/>
      <c r="G54" s="2"/>
      <c r="H54" s="2"/>
      <c r="I54" s="2"/>
      <c r="J54" s="2"/>
      <c r="K54" s="2"/>
      <c r="L54" s="2"/>
      <c r="M54" s="2"/>
    </row>
  </sheetData>
  <mergeCells count="11">
    <mergeCell ref="A1:P1"/>
    <mergeCell ref="A6:A7"/>
    <mergeCell ref="B6:C6"/>
    <mergeCell ref="D6:D7"/>
    <mergeCell ref="E6:E7"/>
    <mergeCell ref="F6:H6"/>
    <mergeCell ref="I6:M6"/>
    <mergeCell ref="N6:O7"/>
    <mergeCell ref="P6:P7"/>
    <mergeCell ref="B7:C7"/>
    <mergeCell ref="O20:O21"/>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54"/>
  <sheetViews>
    <sheetView topLeftCell="A46" workbookViewId="0">
      <selection activeCell="A55" sqref="A55:XFD64"/>
    </sheetView>
  </sheetViews>
  <sheetFormatPr defaultColWidth="9.1796875" defaultRowHeight="14" x14ac:dyDescent="0.3"/>
  <cols>
    <col min="1" max="1" width="9.1796875" style="1"/>
    <col min="2" max="2" width="2.1796875" style="1" customWidth="1"/>
    <col min="3" max="3" width="18.81640625" style="1" bestFit="1" customWidth="1"/>
    <col min="4" max="4" width="13.54296875" style="1" customWidth="1"/>
    <col min="5" max="5" width="23.81640625" style="1" customWidth="1"/>
    <col min="6" max="6" width="7.54296875" style="1" bestFit="1" customWidth="1"/>
    <col min="7" max="7" width="8.81640625" style="1" customWidth="1"/>
    <col min="8" max="8" width="7.54296875" style="1" bestFit="1" customWidth="1"/>
    <col min="9" max="9" width="6.453125" style="1" bestFit="1" customWidth="1"/>
    <col min="10" max="10" width="6.81640625" style="1" bestFit="1" customWidth="1"/>
    <col min="11" max="11" width="10" style="1" bestFit="1" customWidth="1"/>
    <col min="12" max="12" width="5.54296875" style="1" bestFit="1" customWidth="1"/>
    <col min="13" max="13" width="6.81640625" style="1" bestFit="1" customWidth="1"/>
    <col min="14" max="14" width="2.1796875" style="1" customWidth="1"/>
    <col min="15" max="15" width="23.54296875" style="1" customWidth="1"/>
    <col min="16" max="16" width="13.7265625" style="1" customWidth="1"/>
    <col min="17" max="16384" width="9.1796875" style="1"/>
  </cols>
  <sheetData>
    <row r="1" spans="1:16" x14ac:dyDescent="0.3">
      <c r="A1" s="385" t="s">
        <v>0</v>
      </c>
      <c r="B1" s="385"/>
      <c r="C1" s="385"/>
      <c r="D1" s="385"/>
      <c r="E1" s="385"/>
      <c r="F1" s="385"/>
      <c r="G1" s="385"/>
      <c r="H1" s="385"/>
      <c r="I1" s="385"/>
      <c r="J1" s="385"/>
      <c r="K1" s="385"/>
      <c r="L1" s="385"/>
      <c r="M1" s="385"/>
      <c r="N1" s="385"/>
      <c r="O1" s="385"/>
      <c r="P1" s="385"/>
    </row>
    <row r="3" spans="1:16" x14ac:dyDescent="0.3">
      <c r="A3" s="1" t="s">
        <v>1</v>
      </c>
      <c r="B3" s="1" t="s">
        <v>78</v>
      </c>
      <c r="C3" s="1" t="s">
        <v>77</v>
      </c>
    </row>
    <row r="4" spans="1:16" x14ac:dyDescent="0.3">
      <c r="A4" s="1" t="s">
        <v>2</v>
      </c>
      <c r="B4" s="1" t="s">
        <v>78</v>
      </c>
      <c r="C4" s="4" t="s">
        <v>195</v>
      </c>
    </row>
    <row r="6" spans="1:16" x14ac:dyDescent="0.3">
      <c r="A6" s="386" t="s">
        <v>3</v>
      </c>
      <c r="B6" s="388" t="s">
        <v>4</v>
      </c>
      <c r="C6" s="388"/>
      <c r="D6" s="389" t="s">
        <v>6</v>
      </c>
      <c r="E6" s="391" t="s">
        <v>7</v>
      </c>
      <c r="F6" s="393" t="s">
        <v>8</v>
      </c>
      <c r="G6" s="393"/>
      <c r="H6" s="393"/>
      <c r="I6" s="393" t="s">
        <v>12</v>
      </c>
      <c r="J6" s="393"/>
      <c r="K6" s="393"/>
      <c r="L6" s="393"/>
      <c r="M6" s="393"/>
      <c r="N6" s="391" t="s">
        <v>17</v>
      </c>
      <c r="O6" s="391"/>
      <c r="P6" s="386" t="s">
        <v>18</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x14ac:dyDescent="0.3">
      <c r="A9" s="13">
        <v>1</v>
      </c>
      <c r="B9" s="14" t="s">
        <v>20</v>
      </c>
      <c r="C9" s="15"/>
      <c r="D9" s="16"/>
      <c r="E9" s="16"/>
      <c r="F9" s="16"/>
      <c r="G9" s="16"/>
      <c r="H9" s="16"/>
      <c r="I9" s="16"/>
      <c r="J9" s="16"/>
      <c r="K9" s="16"/>
      <c r="L9" s="16"/>
      <c r="M9" s="16"/>
      <c r="N9" s="14"/>
      <c r="O9" s="15"/>
      <c r="P9" s="16"/>
    </row>
    <row r="10" spans="1:16" x14ac:dyDescent="0.3">
      <c r="A10" s="13"/>
      <c r="B10" s="17" t="s">
        <v>57</v>
      </c>
      <c r="C10" s="15" t="s">
        <v>21</v>
      </c>
      <c r="D10" s="18">
        <v>403.56</v>
      </c>
      <c r="E10" s="16" t="s">
        <v>36</v>
      </c>
      <c r="F10" s="19">
        <v>0</v>
      </c>
      <c r="G10" s="19">
        <v>50</v>
      </c>
      <c r="H10" s="19">
        <f>SUM(F10:G10)</f>
        <v>50</v>
      </c>
      <c r="I10" s="19">
        <v>0</v>
      </c>
      <c r="J10" s="19">
        <v>10</v>
      </c>
      <c r="K10" s="19">
        <v>0</v>
      </c>
      <c r="L10" s="19"/>
      <c r="M10" s="20">
        <f>SUM(I10:L10)</f>
        <v>10</v>
      </c>
      <c r="N10" s="17" t="s">
        <v>51</v>
      </c>
      <c r="O10" s="15"/>
      <c r="P10" s="16"/>
    </row>
    <row r="11" spans="1:16" x14ac:dyDescent="0.3">
      <c r="A11" s="13"/>
      <c r="B11" s="14"/>
      <c r="C11" s="15"/>
      <c r="D11" s="18"/>
      <c r="E11" s="16" t="s">
        <v>37</v>
      </c>
      <c r="F11" s="19">
        <v>0</v>
      </c>
      <c r="G11" s="19">
        <v>325</v>
      </c>
      <c r="H11" s="19">
        <f t="shared" ref="H11:H17" si="0">SUM(F11:G11)</f>
        <v>325</v>
      </c>
      <c r="I11" s="19">
        <v>0</v>
      </c>
      <c r="J11" s="19">
        <v>0</v>
      </c>
      <c r="K11" s="19">
        <v>0</v>
      </c>
      <c r="L11" s="19">
        <v>0</v>
      </c>
      <c r="M11" s="20">
        <f t="shared" ref="M11:M17" si="1">SUM(I11:L11)</f>
        <v>0</v>
      </c>
      <c r="N11" s="17" t="s">
        <v>51</v>
      </c>
      <c r="O11" s="25" t="s">
        <v>50</v>
      </c>
      <c r="P11" s="16"/>
    </row>
    <row r="12" spans="1:16" x14ac:dyDescent="0.3">
      <c r="A12" s="13"/>
      <c r="B12" s="14"/>
      <c r="C12" s="15"/>
      <c r="D12" s="18"/>
      <c r="E12" s="16" t="s">
        <v>38</v>
      </c>
      <c r="F12" s="19">
        <v>0</v>
      </c>
      <c r="G12" s="19">
        <v>310</v>
      </c>
      <c r="H12" s="19">
        <f t="shared" si="0"/>
        <v>310</v>
      </c>
      <c r="I12" s="19">
        <v>0</v>
      </c>
      <c r="J12" s="19">
        <v>5</v>
      </c>
      <c r="K12" s="19">
        <v>0</v>
      </c>
      <c r="L12" s="19">
        <v>0</v>
      </c>
      <c r="M12" s="20">
        <f t="shared" si="1"/>
        <v>5</v>
      </c>
      <c r="N12" s="17" t="s">
        <v>51</v>
      </c>
      <c r="O12" s="15" t="s">
        <v>49</v>
      </c>
      <c r="P12" s="16"/>
    </row>
    <row r="13" spans="1:16" ht="28" x14ac:dyDescent="0.3">
      <c r="A13" s="13"/>
      <c r="B13" s="14"/>
      <c r="C13" s="15"/>
      <c r="D13" s="18"/>
      <c r="E13" s="21" t="s">
        <v>39</v>
      </c>
      <c r="F13" s="22">
        <v>50</v>
      </c>
      <c r="G13" s="22">
        <v>0</v>
      </c>
      <c r="H13" s="22">
        <f t="shared" si="0"/>
        <v>50</v>
      </c>
      <c r="I13" s="22">
        <v>0</v>
      </c>
      <c r="J13" s="22">
        <v>0</v>
      </c>
      <c r="K13" s="22">
        <v>0</v>
      </c>
      <c r="L13" s="22">
        <v>0</v>
      </c>
      <c r="M13" s="23">
        <f t="shared" si="1"/>
        <v>0</v>
      </c>
      <c r="N13" s="24" t="s">
        <v>51</v>
      </c>
      <c r="O13" s="31" t="s">
        <v>48</v>
      </c>
      <c r="P13" s="16"/>
    </row>
    <row r="14" spans="1:16" x14ac:dyDescent="0.3">
      <c r="A14" s="13"/>
      <c r="B14" s="17" t="s">
        <v>58</v>
      </c>
      <c r="C14" s="15" t="s">
        <v>22</v>
      </c>
      <c r="D14" s="18">
        <v>498</v>
      </c>
      <c r="E14" s="16" t="s">
        <v>36</v>
      </c>
      <c r="F14" s="19">
        <v>0</v>
      </c>
      <c r="G14" s="19">
        <v>50</v>
      </c>
      <c r="H14" s="19">
        <f t="shared" si="0"/>
        <v>50</v>
      </c>
      <c r="I14" s="19">
        <v>0</v>
      </c>
      <c r="J14" s="19">
        <v>0</v>
      </c>
      <c r="K14" s="19">
        <v>0</v>
      </c>
      <c r="L14" s="19">
        <v>0</v>
      </c>
      <c r="M14" s="20">
        <f t="shared" si="1"/>
        <v>0</v>
      </c>
      <c r="N14" s="14"/>
      <c r="P14" s="16"/>
    </row>
    <row r="15" spans="1:16" x14ac:dyDescent="0.3">
      <c r="A15" s="13"/>
      <c r="B15" s="14"/>
      <c r="C15" s="15"/>
      <c r="D15" s="26"/>
      <c r="E15" s="16" t="s">
        <v>37</v>
      </c>
      <c r="F15" s="19">
        <v>0</v>
      </c>
      <c r="G15" s="19">
        <v>406</v>
      </c>
      <c r="H15" s="19">
        <f t="shared" si="0"/>
        <v>406</v>
      </c>
      <c r="I15" s="19">
        <v>0</v>
      </c>
      <c r="J15" s="19">
        <v>0</v>
      </c>
      <c r="K15" s="19">
        <v>0</v>
      </c>
      <c r="L15" s="19">
        <v>0</v>
      </c>
      <c r="M15" s="20">
        <f t="shared" si="1"/>
        <v>0</v>
      </c>
      <c r="N15" s="14"/>
      <c r="O15" s="15"/>
      <c r="P15" s="16"/>
    </row>
    <row r="16" spans="1:16" x14ac:dyDescent="0.3">
      <c r="A16" s="13"/>
      <c r="B16" s="14"/>
      <c r="C16" s="15"/>
      <c r="D16" s="26"/>
      <c r="E16" s="16" t="s">
        <v>38</v>
      </c>
      <c r="F16" s="19">
        <v>0</v>
      </c>
      <c r="G16" s="19">
        <v>537</v>
      </c>
      <c r="H16" s="19">
        <f t="shared" si="0"/>
        <v>537</v>
      </c>
      <c r="I16" s="19">
        <v>0</v>
      </c>
      <c r="J16" s="19">
        <v>0</v>
      </c>
      <c r="K16" s="19">
        <v>0</v>
      </c>
      <c r="L16" s="19">
        <v>0</v>
      </c>
      <c r="M16" s="20">
        <f t="shared" si="1"/>
        <v>0</v>
      </c>
      <c r="N16" s="14"/>
      <c r="O16" s="15"/>
      <c r="P16" s="16"/>
    </row>
    <row r="17" spans="1:16" ht="28" x14ac:dyDescent="0.3">
      <c r="A17" s="13"/>
      <c r="B17" s="14"/>
      <c r="C17" s="15"/>
      <c r="D17" s="26"/>
      <c r="E17" s="27" t="s">
        <v>39</v>
      </c>
      <c r="F17" s="22">
        <v>45</v>
      </c>
      <c r="G17" s="22">
        <v>0</v>
      </c>
      <c r="H17" s="22">
        <f t="shared" si="0"/>
        <v>45</v>
      </c>
      <c r="I17" s="22">
        <v>0</v>
      </c>
      <c r="J17" s="22">
        <v>0</v>
      </c>
      <c r="K17" s="22">
        <v>0</v>
      </c>
      <c r="L17" s="22">
        <v>0</v>
      </c>
      <c r="M17" s="23">
        <f t="shared" si="1"/>
        <v>0</v>
      </c>
      <c r="N17" s="28"/>
      <c r="O17" s="25"/>
      <c r="P17" s="29"/>
    </row>
    <row r="18" spans="1:16" x14ac:dyDescent="0.3">
      <c r="A18" s="13"/>
      <c r="B18" s="14"/>
      <c r="C18" s="15"/>
      <c r="D18" s="26"/>
      <c r="E18" s="16"/>
      <c r="F18" s="16"/>
      <c r="G18" s="16"/>
      <c r="H18" s="16"/>
      <c r="I18" s="16"/>
      <c r="J18" s="16"/>
      <c r="K18" s="16"/>
      <c r="L18" s="16"/>
      <c r="M18" s="16"/>
      <c r="N18" s="14"/>
      <c r="O18" s="15"/>
      <c r="P18" s="16"/>
    </row>
    <row r="19" spans="1:16" x14ac:dyDescent="0.3">
      <c r="A19" s="13">
        <v>2</v>
      </c>
      <c r="B19" s="14" t="s">
        <v>23</v>
      </c>
      <c r="C19" s="15"/>
      <c r="D19" s="26"/>
      <c r="E19" s="16"/>
      <c r="F19" s="16"/>
      <c r="G19" s="16"/>
      <c r="H19" s="16"/>
      <c r="I19" s="16"/>
      <c r="J19" s="16"/>
      <c r="K19" s="16"/>
      <c r="L19" s="16"/>
      <c r="M19" s="16"/>
      <c r="N19" s="14"/>
      <c r="O19" s="15"/>
      <c r="P19" s="16"/>
    </row>
    <row r="20" spans="1:16" ht="28" x14ac:dyDescent="0.3">
      <c r="A20" s="13"/>
      <c r="B20" s="98" t="s">
        <v>57</v>
      </c>
      <c r="C20" s="99" t="s">
        <v>22</v>
      </c>
      <c r="D20" s="96">
        <v>198</v>
      </c>
      <c r="E20" s="120" t="s">
        <v>198</v>
      </c>
      <c r="F20" s="97">
        <v>0</v>
      </c>
      <c r="G20" s="97">
        <v>158</v>
      </c>
      <c r="H20" s="97">
        <f t="shared" ref="H20:H21" si="2">SUM(F20:G20)</f>
        <v>158</v>
      </c>
      <c r="I20" s="97">
        <v>0</v>
      </c>
      <c r="J20" s="97">
        <v>10</v>
      </c>
      <c r="K20" s="97">
        <v>0</v>
      </c>
      <c r="L20" s="97">
        <v>0</v>
      </c>
      <c r="M20" s="121">
        <f t="shared" ref="M20:M21" si="3">SUM(I20:L20)</f>
        <v>10</v>
      </c>
      <c r="N20" s="17" t="s">
        <v>51</v>
      </c>
      <c r="O20" s="396" t="s">
        <v>54</v>
      </c>
      <c r="P20" s="16"/>
    </row>
    <row r="21" spans="1:16" ht="28" x14ac:dyDescent="0.3">
      <c r="A21" s="13"/>
      <c r="B21" s="98"/>
      <c r="C21" s="99"/>
      <c r="D21" s="96"/>
      <c r="E21" s="120" t="s">
        <v>197</v>
      </c>
      <c r="F21" s="97">
        <v>20</v>
      </c>
      <c r="G21" s="97">
        <v>0</v>
      </c>
      <c r="H21" s="97">
        <f t="shared" si="2"/>
        <v>20</v>
      </c>
      <c r="I21" s="97">
        <v>0</v>
      </c>
      <c r="J21" s="97">
        <v>0</v>
      </c>
      <c r="K21" s="97">
        <v>0</v>
      </c>
      <c r="L21" s="97">
        <v>0</v>
      </c>
      <c r="M21" s="121">
        <f t="shared" si="3"/>
        <v>0</v>
      </c>
      <c r="N21" s="14"/>
      <c r="O21" s="397"/>
      <c r="P21" s="16"/>
    </row>
    <row r="22" spans="1:16" x14ac:dyDescent="0.3">
      <c r="A22" s="13"/>
      <c r="B22" s="14"/>
      <c r="C22" s="15"/>
      <c r="D22" s="26"/>
      <c r="E22" s="16"/>
      <c r="F22" s="19"/>
      <c r="G22" s="19"/>
      <c r="H22" s="19"/>
      <c r="I22" s="19"/>
      <c r="J22" s="19"/>
      <c r="K22" s="19"/>
      <c r="L22" s="19"/>
      <c r="M22" s="19"/>
      <c r="N22" s="14"/>
      <c r="O22" s="15"/>
      <c r="P22" s="16"/>
    </row>
    <row r="23" spans="1:16" x14ac:dyDescent="0.3">
      <c r="A23" s="13">
        <v>3</v>
      </c>
      <c r="B23" s="14" t="s">
        <v>19</v>
      </c>
      <c r="C23" s="15"/>
      <c r="D23" s="26"/>
      <c r="E23" s="16"/>
      <c r="F23" s="19"/>
      <c r="G23" s="19"/>
      <c r="H23" s="19"/>
      <c r="I23" s="19"/>
      <c r="J23" s="19"/>
      <c r="K23" s="19"/>
      <c r="L23" s="19"/>
      <c r="M23" s="19"/>
      <c r="N23" s="14"/>
      <c r="O23" s="15"/>
      <c r="P23" s="16"/>
    </row>
    <row r="24" spans="1:16" x14ac:dyDescent="0.3">
      <c r="A24" s="13"/>
      <c r="B24" s="14" t="s">
        <v>57</v>
      </c>
      <c r="C24" s="15" t="s">
        <v>24</v>
      </c>
      <c r="D24" s="26">
        <v>1372.2</v>
      </c>
      <c r="E24" s="30" t="s">
        <v>52</v>
      </c>
      <c r="F24" s="19">
        <v>0</v>
      </c>
      <c r="G24" s="26">
        <f>20%*D24</f>
        <v>274.44</v>
      </c>
      <c r="H24" s="26">
        <f t="shared" ref="H24:H44" si="4">SUM(F24:G24)</f>
        <v>274.44</v>
      </c>
      <c r="I24" s="19">
        <v>0</v>
      </c>
      <c r="J24" s="19">
        <v>0</v>
      </c>
      <c r="K24" s="19">
        <v>0</v>
      </c>
      <c r="L24" s="19">
        <v>0</v>
      </c>
      <c r="M24" s="19">
        <f>SUM(I24:L24)</f>
        <v>0</v>
      </c>
      <c r="N24" s="14"/>
      <c r="O24" s="15"/>
      <c r="P24" s="16"/>
    </row>
    <row r="25" spans="1:16" x14ac:dyDescent="0.3">
      <c r="A25" s="13"/>
      <c r="B25" s="14" t="s">
        <v>58</v>
      </c>
      <c r="C25" s="15" t="s">
        <v>25</v>
      </c>
      <c r="D25" s="26">
        <v>995.2</v>
      </c>
      <c r="E25" s="30" t="s">
        <v>52</v>
      </c>
      <c r="F25" s="19">
        <v>0</v>
      </c>
      <c r="G25" s="26">
        <f>20%*D25</f>
        <v>199.04000000000002</v>
      </c>
      <c r="H25" s="26">
        <f t="shared" si="4"/>
        <v>199.04000000000002</v>
      </c>
      <c r="I25" s="19">
        <v>0</v>
      </c>
      <c r="J25" s="19">
        <v>0</v>
      </c>
      <c r="K25" s="19">
        <v>0</v>
      </c>
      <c r="L25" s="19">
        <v>0</v>
      </c>
      <c r="M25" s="19">
        <f t="shared" ref="M25:M44" si="5">SUM(I25:L25)</f>
        <v>0</v>
      </c>
      <c r="N25" s="14"/>
      <c r="O25" s="15" t="s">
        <v>199</v>
      </c>
      <c r="P25" s="16"/>
    </row>
    <row r="26" spans="1:16" x14ac:dyDescent="0.3">
      <c r="A26" s="13"/>
      <c r="B26" s="14" t="s">
        <v>59</v>
      </c>
      <c r="C26" s="15" t="s">
        <v>26</v>
      </c>
      <c r="D26" s="26">
        <v>716.5</v>
      </c>
      <c r="E26" s="30" t="s">
        <v>52</v>
      </c>
      <c r="F26" s="19">
        <v>0</v>
      </c>
      <c r="G26" s="26">
        <f>40%*D26</f>
        <v>286.60000000000002</v>
      </c>
      <c r="H26" s="26">
        <f t="shared" si="4"/>
        <v>286.60000000000002</v>
      </c>
      <c r="I26" s="19">
        <v>0</v>
      </c>
      <c r="J26" s="19">
        <v>0</v>
      </c>
      <c r="K26" s="19">
        <v>0</v>
      </c>
      <c r="L26" s="19">
        <v>0</v>
      </c>
      <c r="M26" s="19">
        <f t="shared" si="5"/>
        <v>0</v>
      </c>
      <c r="N26" s="14"/>
      <c r="O26" s="15" t="s">
        <v>200</v>
      </c>
      <c r="P26" s="16"/>
    </row>
    <row r="27" spans="1:16" x14ac:dyDescent="0.3">
      <c r="A27" s="13"/>
      <c r="B27" s="14" t="s">
        <v>60</v>
      </c>
      <c r="C27" s="15" t="s">
        <v>55</v>
      </c>
      <c r="D27" s="26">
        <v>955.3</v>
      </c>
      <c r="E27" s="30" t="s">
        <v>52</v>
      </c>
      <c r="F27" s="19">
        <v>0</v>
      </c>
      <c r="G27" s="26">
        <f>20%*D27</f>
        <v>191.06</v>
      </c>
      <c r="H27" s="26">
        <f t="shared" si="4"/>
        <v>191.06</v>
      </c>
      <c r="I27" s="19">
        <v>0</v>
      </c>
      <c r="J27" s="19">
        <v>0</v>
      </c>
      <c r="K27" s="19">
        <v>0</v>
      </c>
      <c r="L27" s="19">
        <v>0</v>
      </c>
      <c r="M27" s="19">
        <f t="shared" si="5"/>
        <v>0</v>
      </c>
      <c r="N27" s="14"/>
      <c r="O27" s="15" t="s">
        <v>133</v>
      </c>
      <c r="P27" s="16"/>
    </row>
    <row r="28" spans="1:16" x14ac:dyDescent="0.3">
      <c r="A28" s="13"/>
      <c r="B28" s="14" t="s">
        <v>61</v>
      </c>
      <c r="C28" s="15" t="s">
        <v>27</v>
      </c>
      <c r="D28" s="26">
        <v>901.2</v>
      </c>
      <c r="E28" s="30" t="s">
        <v>52</v>
      </c>
      <c r="F28" s="19">
        <v>0</v>
      </c>
      <c r="G28" s="26">
        <f>20%*D28</f>
        <v>180.24</v>
      </c>
      <c r="H28" s="26">
        <f t="shared" si="4"/>
        <v>180.24</v>
      </c>
      <c r="I28" s="19">
        <v>0</v>
      </c>
      <c r="J28" s="19">
        <v>0</v>
      </c>
      <c r="K28" s="19">
        <v>0</v>
      </c>
      <c r="L28" s="19">
        <v>0</v>
      </c>
      <c r="M28" s="19">
        <f t="shared" si="5"/>
        <v>0</v>
      </c>
      <c r="N28" s="14"/>
      <c r="O28" s="15"/>
      <c r="P28" s="16"/>
    </row>
    <row r="29" spans="1:16" x14ac:dyDescent="0.3">
      <c r="A29" s="13"/>
      <c r="B29" s="14" t="s">
        <v>62</v>
      </c>
      <c r="C29" s="15" t="s">
        <v>28</v>
      </c>
      <c r="D29" s="26">
        <v>871</v>
      </c>
      <c r="E29" s="30" t="s">
        <v>52</v>
      </c>
      <c r="F29" s="19">
        <v>0</v>
      </c>
      <c r="G29" s="26">
        <f>40%*D29</f>
        <v>348.40000000000003</v>
      </c>
      <c r="H29" s="26">
        <f t="shared" si="4"/>
        <v>348.40000000000003</v>
      </c>
      <c r="I29" s="19">
        <v>0</v>
      </c>
      <c r="J29" s="19">
        <v>0</v>
      </c>
      <c r="K29" s="19">
        <v>0</v>
      </c>
      <c r="L29" s="19">
        <v>0</v>
      </c>
      <c r="M29" s="19">
        <f t="shared" si="5"/>
        <v>0</v>
      </c>
      <c r="N29" s="14"/>
      <c r="O29" s="15"/>
      <c r="P29" s="16"/>
    </row>
    <row r="30" spans="1:16" x14ac:dyDescent="0.3">
      <c r="A30" s="13"/>
      <c r="B30" s="14" t="s">
        <v>63</v>
      </c>
      <c r="C30" s="15" t="s">
        <v>29</v>
      </c>
      <c r="D30" s="26">
        <v>1516</v>
      </c>
      <c r="E30" s="30" t="s">
        <v>52</v>
      </c>
      <c r="F30" s="19">
        <v>0</v>
      </c>
      <c r="G30" s="26">
        <f>20%*D30</f>
        <v>303.2</v>
      </c>
      <c r="H30" s="26">
        <f t="shared" si="4"/>
        <v>303.2</v>
      </c>
      <c r="I30" s="19">
        <v>0</v>
      </c>
      <c r="J30" s="19">
        <v>0</v>
      </c>
      <c r="K30" s="19">
        <v>0</v>
      </c>
      <c r="L30" s="19">
        <v>0</v>
      </c>
      <c r="M30" s="19">
        <f t="shared" si="5"/>
        <v>0</v>
      </c>
      <c r="N30" s="14"/>
      <c r="O30" s="15"/>
      <c r="P30" s="16"/>
    </row>
    <row r="31" spans="1:16" x14ac:dyDescent="0.3">
      <c r="A31" s="13"/>
      <c r="B31" s="14" t="s">
        <v>64</v>
      </c>
      <c r="C31" s="15" t="s">
        <v>56</v>
      </c>
      <c r="D31" s="26">
        <v>97.2</v>
      </c>
      <c r="E31" s="30" t="s">
        <v>52</v>
      </c>
      <c r="F31" s="19">
        <v>0</v>
      </c>
      <c r="G31" s="26">
        <f>20%*D31</f>
        <v>19.440000000000001</v>
      </c>
      <c r="H31" s="26">
        <f t="shared" si="4"/>
        <v>19.440000000000001</v>
      </c>
      <c r="I31" s="19">
        <v>0</v>
      </c>
      <c r="J31" s="19">
        <v>0</v>
      </c>
      <c r="K31" s="19">
        <v>0</v>
      </c>
      <c r="L31" s="19">
        <v>0</v>
      </c>
      <c r="M31" s="19">
        <f t="shared" si="5"/>
        <v>0</v>
      </c>
      <c r="N31" s="14"/>
      <c r="O31" s="15"/>
      <c r="P31" s="16"/>
    </row>
    <row r="32" spans="1:16" x14ac:dyDescent="0.3">
      <c r="A32" s="13"/>
      <c r="B32" s="14" t="s">
        <v>65</v>
      </c>
      <c r="C32" s="15" t="s">
        <v>30</v>
      </c>
      <c r="D32" s="26">
        <v>1502.3</v>
      </c>
      <c r="E32" s="30" t="s">
        <v>52</v>
      </c>
      <c r="F32" s="19">
        <v>0</v>
      </c>
      <c r="G32" s="26">
        <f>40%*D32</f>
        <v>600.91999999999996</v>
      </c>
      <c r="H32" s="26">
        <f t="shared" si="4"/>
        <v>600.91999999999996</v>
      </c>
      <c r="I32" s="19">
        <v>0</v>
      </c>
      <c r="J32" s="19">
        <v>0</v>
      </c>
      <c r="K32" s="19">
        <v>0</v>
      </c>
      <c r="L32" s="19">
        <v>0</v>
      </c>
      <c r="M32" s="19">
        <f t="shared" si="5"/>
        <v>0</v>
      </c>
      <c r="N32" s="14"/>
      <c r="O32" s="15"/>
      <c r="P32" s="16"/>
    </row>
    <row r="33" spans="1:16" x14ac:dyDescent="0.3">
      <c r="A33" s="13"/>
      <c r="B33" s="14" t="s">
        <v>66</v>
      </c>
      <c r="C33" s="15" t="s">
        <v>31</v>
      </c>
      <c r="D33" s="26">
        <v>1518</v>
      </c>
      <c r="E33" s="30" t="s">
        <v>52</v>
      </c>
      <c r="F33" s="19">
        <v>0</v>
      </c>
      <c r="G33" s="26">
        <f>20%*D33</f>
        <v>303.60000000000002</v>
      </c>
      <c r="H33" s="26">
        <f t="shared" si="4"/>
        <v>303.60000000000002</v>
      </c>
      <c r="I33" s="19">
        <v>0</v>
      </c>
      <c r="J33" s="19">
        <v>0</v>
      </c>
      <c r="K33" s="19">
        <v>0</v>
      </c>
      <c r="L33" s="19">
        <v>0</v>
      </c>
      <c r="M33" s="19">
        <f t="shared" si="5"/>
        <v>0</v>
      </c>
      <c r="N33" s="14"/>
      <c r="O33" s="15"/>
      <c r="P33" s="16"/>
    </row>
    <row r="34" spans="1:16" x14ac:dyDescent="0.3">
      <c r="A34" s="13"/>
      <c r="B34" s="14" t="s">
        <v>67</v>
      </c>
      <c r="C34" s="15" t="s">
        <v>32</v>
      </c>
      <c r="D34" s="26">
        <v>997.4</v>
      </c>
      <c r="E34" s="30" t="s">
        <v>52</v>
      </c>
      <c r="F34" s="19">
        <v>0</v>
      </c>
      <c r="G34" s="26">
        <f>20%*D34</f>
        <v>199.48000000000002</v>
      </c>
      <c r="H34" s="26">
        <f t="shared" si="4"/>
        <v>199.48000000000002</v>
      </c>
      <c r="I34" s="19">
        <v>0</v>
      </c>
      <c r="J34" s="19">
        <v>0</v>
      </c>
      <c r="K34" s="19">
        <v>0</v>
      </c>
      <c r="L34" s="19">
        <v>0</v>
      </c>
      <c r="M34" s="19">
        <f t="shared" si="5"/>
        <v>0</v>
      </c>
      <c r="N34" s="14"/>
      <c r="O34" s="15"/>
      <c r="P34" s="16"/>
    </row>
    <row r="35" spans="1:16" x14ac:dyDescent="0.3">
      <c r="A35" s="13"/>
      <c r="B35" s="14" t="s">
        <v>68</v>
      </c>
      <c r="C35" s="15" t="s">
        <v>33</v>
      </c>
      <c r="D35" s="26">
        <v>1304</v>
      </c>
      <c r="E35" s="30" t="s">
        <v>52</v>
      </c>
      <c r="F35" s="19">
        <v>0</v>
      </c>
      <c r="G35" s="26">
        <f>40%*D35</f>
        <v>521.6</v>
      </c>
      <c r="H35" s="26">
        <f t="shared" si="4"/>
        <v>521.6</v>
      </c>
      <c r="I35" s="19">
        <v>0</v>
      </c>
      <c r="J35" s="19">
        <v>0</v>
      </c>
      <c r="K35" s="19">
        <v>0</v>
      </c>
      <c r="L35" s="19">
        <v>0</v>
      </c>
      <c r="M35" s="19">
        <f t="shared" si="5"/>
        <v>0</v>
      </c>
      <c r="N35" s="14"/>
      <c r="O35" s="15"/>
      <c r="P35" s="16"/>
    </row>
    <row r="36" spans="1:16" x14ac:dyDescent="0.3">
      <c r="A36" s="13"/>
      <c r="B36" s="14" t="s">
        <v>69</v>
      </c>
      <c r="C36" s="15" t="s">
        <v>34</v>
      </c>
      <c r="D36" s="26">
        <v>1704</v>
      </c>
      <c r="E36" s="30" t="s">
        <v>52</v>
      </c>
      <c r="F36" s="19">
        <v>0</v>
      </c>
      <c r="G36" s="26">
        <f>20%*D36</f>
        <v>340.8</v>
      </c>
      <c r="H36" s="26">
        <f t="shared" si="4"/>
        <v>340.8</v>
      </c>
      <c r="I36" s="19">
        <v>0</v>
      </c>
      <c r="J36" s="19">
        <v>0</v>
      </c>
      <c r="K36" s="19">
        <v>0</v>
      </c>
      <c r="L36" s="19">
        <v>0</v>
      </c>
      <c r="M36" s="19">
        <f t="shared" si="5"/>
        <v>0</v>
      </c>
      <c r="N36" s="14"/>
      <c r="O36" s="15"/>
      <c r="P36" s="16"/>
    </row>
    <row r="37" spans="1:16" x14ac:dyDescent="0.3">
      <c r="A37" s="13"/>
      <c r="B37" s="14" t="s">
        <v>70</v>
      </c>
      <c r="C37" s="15" t="s">
        <v>35</v>
      </c>
      <c r="D37" s="26">
        <v>1557</v>
      </c>
      <c r="E37" s="30" t="s">
        <v>52</v>
      </c>
      <c r="F37" s="19">
        <v>0</v>
      </c>
      <c r="G37" s="26">
        <f>20%*D37</f>
        <v>311.40000000000003</v>
      </c>
      <c r="H37" s="26">
        <f t="shared" si="4"/>
        <v>311.40000000000003</v>
      </c>
      <c r="I37" s="19">
        <v>0</v>
      </c>
      <c r="J37" s="19">
        <v>0</v>
      </c>
      <c r="K37" s="19">
        <v>0</v>
      </c>
      <c r="L37" s="19">
        <v>0</v>
      </c>
      <c r="M37" s="19">
        <f t="shared" si="5"/>
        <v>0</v>
      </c>
      <c r="N37" s="14"/>
      <c r="O37" s="15"/>
      <c r="P37" s="16"/>
    </row>
    <row r="38" spans="1:16" x14ac:dyDescent="0.3">
      <c r="A38" s="13"/>
      <c r="B38" s="14" t="s">
        <v>71</v>
      </c>
      <c r="C38" s="15" t="s">
        <v>21</v>
      </c>
      <c r="D38" s="26">
        <v>1669</v>
      </c>
      <c r="E38" s="30" t="s">
        <v>52</v>
      </c>
      <c r="F38" s="19">
        <v>0</v>
      </c>
      <c r="G38" s="26">
        <f>40%*D38</f>
        <v>667.6</v>
      </c>
      <c r="H38" s="26">
        <f t="shared" si="4"/>
        <v>667.6</v>
      </c>
      <c r="I38" s="19">
        <v>0</v>
      </c>
      <c r="J38" s="19">
        <v>0</v>
      </c>
      <c r="K38" s="19">
        <v>0</v>
      </c>
      <c r="L38" s="19">
        <v>0</v>
      </c>
      <c r="M38" s="19">
        <f t="shared" si="5"/>
        <v>0</v>
      </c>
      <c r="N38" s="14"/>
      <c r="O38" s="15"/>
      <c r="P38" s="16"/>
    </row>
    <row r="39" spans="1:16" x14ac:dyDescent="0.3">
      <c r="A39" s="13"/>
      <c r="B39" s="14" t="s">
        <v>72</v>
      </c>
      <c r="C39" s="15" t="s">
        <v>42</v>
      </c>
      <c r="D39" s="26">
        <v>773</v>
      </c>
      <c r="E39" s="30" t="s">
        <v>52</v>
      </c>
      <c r="F39" s="19">
        <v>0</v>
      </c>
      <c r="G39" s="26">
        <f>20%*D39</f>
        <v>154.60000000000002</v>
      </c>
      <c r="H39" s="26">
        <f t="shared" si="4"/>
        <v>154.60000000000002</v>
      </c>
      <c r="I39" s="19">
        <v>0</v>
      </c>
      <c r="J39" s="19">
        <v>0</v>
      </c>
      <c r="K39" s="19">
        <v>0</v>
      </c>
      <c r="L39" s="19">
        <v>0</v>
      </c>
      <c r="M39" s="19">
        <f t="shared" si="5"/>
        <v>0</v>
      </c>
      <c r="N39" s="14"/>
      <c r="O39" s="15"/>
      <c r="P39" s="16"/>
    </row>
    <row r="40" spans="1:16" x14ac:dyDescent="0.3">
      <c r="A40" s="13"/>
      <c r="B40" s="14"/>
      <c r="C40" s="15"/>
      <c r="D40" s="26"/>
      <c r="E40" s="16" t="s">
        <v>45</v>
      </c>
      <c r="F40" s="19">
        <v>0</v>
      </c>
      <c r="G40" s="26">
        <f>10%*D39</f>
        <v>77.300000000000011</v>
      </c>
      <c r="H40" s="26">
        <f t="shared" si="4"/>
        <v>77.300000000000011</v>
      </c>
      <c r="I40" s="19">
        <v>0</v>
      </c>
      <c r="J40" s="19">
        <v>0</v>
      </c>
      <c r="K40" s="19">
        <v>0</v>
      </c>
      <c r="L40" s="19">
        <v>0</v>
      </c>
      <c r="M40" s="19">
        <f t="shared" si="5"/>
        <v>0</v>
      </c>
      <c r="N40" s="14"/>
      <c r="O40" s="15"/>
      <c r="P40" s="16"/>
    </row>
    <row r="41" spans="1:16" x14ac:dyDescent="0.3">
      <c r="A41" s="13"/>
      <c r="B41" s="14" t="s">
        <v>73</v>
      </c>
      <c r="C41" s="15" t="s">
        <v>22</v>
      </c>
      <c r="D41" s="26">
        <v>1146</v>
      </c>
      <c r="E41" s="30" t="s">
        <v>52</v>
      </c>
      <c r="F41" s="19">
        <v>0</v>
      </c>
      <c r="G41" s="26">
        <f>40%*D41</f>
        <v>458.40000000000003</v>
      </c>
      <c r="H41" s="26">
        <f t="shared" si="4"/>
        <v>458.40000000000003</v>
      </c>
      <c r="I41" s="19">
        <v>0</v>
      </c>
      <c r="J41" s="19">
        <v>0</v>
      </c>
      <c r="K41" s="19">
        <v>0</v>
      </c>
      <c r="L41" s="19">
        <v>0</v>
      </c>
      <c r="M41" s="19">
        <f t="shared" si="5"/>
        <v>0</v>
      </c>
      <c r="N41" s="14"/>
      <c r="O41" s="15"/>
      <c r="P41" s="16"/>
    </row>
    <row r="42" spans="1:16" x14ac:dyDescent="0.3">
      <c r="A42" s="13"/>
      <c r="B42" s="14"/>
      <c r="C42" s="15"/>
      <c r="D42" s="26"/>
      <c r="E42" s="16" t="s">
        <v>45</v>
      </c>
      <c r="F42" s="19">
        <v>0</v>
      </c>
      <c r="G42" s="26">
        <f>10%*D41</f>
        <v>114.60000000000001</v>
      </c>
      <c r="H42" s="26">
        <f t="shared" si="4"/>
        <v>114.60000000000001</v>
      </c>
      <c r="I42" s="19">
        <v>0</v>
      </c>
      <c r="J42" s="19">
        <v>0</v>
      </c>
      <c r="K42" s="19">
        <v>0</v>
      </c>
      <c r="L42" s="19">
        <v>0</v>
      </c>
      <c r="M42" s="19">
        <f t="shared" si="5"/>
        <v>0</v>
      </c>
      <c r="N42" s="14"/>
      <c r="O42" s="15"/>
      <c r="P42" s="16"/>
    </row>
    <row r="43" spans="1:16" x14ac:dyDescent="0.3">
      <c r="A43" s="13"/>
      <c r="B43" s="14" t="s">
        <v>74</v>
      </c>
      <c r="C43" s="15" t="s">
        <v>43</v>
      </c>
      <c r="D43" s="26">
        <v>1189</v>
      </c>
      <c r="E43" s="30" t="s">
        <v>52</v>
      </c>
      <c r="F43" s="19">
        <v>0</v>
      </c>
      <c r="G43" s="26">
        <f>20%*D43</f>
        <v>237.8</v>
      </c>
      <c r="H43" s="26">
        <f t="shared" si="4"/>
        <v>237.8</v>
      </c>
      <c r="I43" s="19">
        <v>0</v>
      </c>
      <c r="J43" s="19">
        <v>0</v>
      </c>
      <c r="K43" s="19">
        <v>0</v>
      </c>
      <c r="L43" s="19">
        <v>0</v>
      </c>
      <c r="M43" s="19">
        <f t="shared" si="5"/>
        <v>0</v>
      </c>
      <c r="N43" s="14"/>
      <c r="O43" s="15"/>
      <c r="P43" s="16"/>
    </row>
    <row r="44" spans="1:16" x14ac:dyDescent="0.3">
      <c r="A44" s="13"/>
      <c r="B44" s="14" t="s">
        <v>75</v>
      </c>
      <c r="C44" s="15" t="s">
        <v>44</v>
      </c>
      <c r="D44" s="26">
        <v>1391</v>
      </c>
      <c r="E44" s="30" t="s">
        <v>52</v>
      </c>
      <c r="F44" s="19">
        <v>0</v>
      </c>
      <c r="G44" s="26">
        <f>40%*D44</f>
        <v>556.4</v>
      </c>
      <c r="H44" s="26">
        <f t="shared" si="4"/>
        <v>556.4</v>
      </c>
      <c r="I44" s="19">
        <v>0</v>
      </c>
      <c r="J44" s="19">
        <v>0</v>
      </c>
      <c r="K44" s="19">
        <v>0</v>
      </c>
      <c r="L44" s="19">
        <v>0</v>
      </c>
      <c r="M44" s="19">
        <f t="shared" si="5"/>
        <v>0</v>
      </c>
      <c r="N44" s="14"/>
      <c r="O44" s="15"/>
      <c r="P44" s="16"/>
    </row>
    <row r="45" spans="1:16" x14ac:dyDescent="0.3">
      <c r="A45" s="13"/>
      <c r="B45" s="14"/>
      <c r="C45" s="15"/>
      <c r="D45" s="16"/>
      <c r="E45" s="16"/>
      <c r="F45" s="19"/>
      <c r="G45" s="19"/>
      <c r="H45" s="19"/>
      <c r="I45" s="19"/>
      <c r="J45" s="19"/>
      <c r="K45" s="19"/>
      <c r="L45" s="19"/>
      <c r="M45" s="19"/>
      <c r="N45" s="14"/>
      <c r="O45" s="15"/>
      <c r="P45" s="16"/>
    </row>
    <row r="46" spans="1:16" x14ac:dyDescent="0.3">
      <c r="A46" s="13">
        <v>4</v>
      </c>
      <c r="B46" s="14" t="s">
        <v>46</v>
      </c>
      <c r="C46" s="15"/>
      <c r="D46" s="26"/>
      <c r="E46" s="16"/>
      <c r="F46" s="19"/>
      <c r="G46" s="19"/>
      <c r="H46" s="19"/>
      <c r="I46" s="19"/>
      <c r="J46" s="19"/>
      <c r="K46" s="19"/>
      <c r="L46" s="19"/>
      <c r="M46" s="19"/>
      <c r="N46" s="14"/>
      <c r="O46" s="15"/>
      <c r="P46" s="16"/>
    </row>
    <row r="47" spans="1:16" x14ac:dyDescent="0.3">
      <c r="A47" s="13"/>
      <c r="B47" s="14" t="s">
        <v>57</v>
      </c>
      <c r="C47" s="15" t="s">
        <v>29</v>
      </c>
      <c r="D47" s="26">
        <v>175</v>
      </c>
      <c r="E47" s="16" t="s">
        <v>76</v>
      </c>
      <c r="F47" s="26">
        <f t="shared" ref="F47:F52" si="6">12%*D47</f>
        <v>21</v>
      </c>
      <c r="G47" s="19">
        <v>0</v>
      </c>
      <c r="H47" s="26">
        <f t="shared" ref="H47:H52" si="7">SUM(F47:G47)</f>
        <v>21</v>
      </c>
      <c r="I47" s="19">
        <v>0</v>
      </c>
      <c r="J47" s="19">
        <v>0</v>
      </c>
      <c r="K47" s="19">
        <v>0</v>
      </c>
      <c r="L47" s="19">
        <v>0</v>
      </c>
      <c r="M47" s="19">
        <f>SUM(I47:L47)</f>
        <v>0</v>
      </c>
      <c r="N47" s="14"/>
      <c r="O47" s="15" t="s">
        <v>93</v>
      </c>
      <c r="P47" s="16"/>
    </row>
    <row r="48" spans="1:16" x14ac:dyDescent="0.3">
      <c r="A48" s="13"/>
      <c r="B48" s="14" t="s">
        <v>58</v>
      </c>
      <c r="C48" s="15" t="s">
        <v>33</v>
      </c>
      <c r="D48" s="26">
        <v>270</v>
      </c>
      <c r="E48" s="16" t="s">
        <v>53</v>
      </c>
      <c r="F48" s="26">
        <f t="shared" si="6"/>
        <v>32.4</v>
      </c>
      <c r="G48" s="19">
        <v>0</v>
      </c>
      <c r="H48" s="26">
        <f t="shared" si="7"/>
        <v>32.4</v>
      </c>
      <c r="I48" s="19">
        <v>0</v>
      </c>
      <c r="J48" s="19">
        <v>0</v>
      </c>
      <c r="K48" s="19">
        <v>0</v>
      </c>
      <c r="L48" s="19">
        <v>0</v>
      </c>
      <c r="M48" s="19">
        <f t="shared" ref="M48:M52" si="8">SUM(I48:L48)</f>
        <v>0</v>
      </c>
      <c r="N48" s="14"/>
      <c r="O48" s="15" t="s">
        <v>94</v>
      </c>
      <c r="P48" s="16"/>
    </row>
    <row r="49" spans="1:16" x14ac:dyDescent="0.3">
      <c r="A49" s="13"/>
      <c r="B49" s="14" t="s">
        <v>59</v>
      </c>
      <c r="C49" s="15" t="s">
        <v>42</v>
      </c>
      <c r="D49" s="26">
        <v>798.93</v>
      </c>
      <c r="E49" s="16" t="s">
        <v>53</v>
      </c>
      <c r="F49" s="26">
        <f t="shared" si="6"/>
        <v>95.871599999999987</v>
      </c>
      <c r="G49" s="19">
        <v>0</v>
      </c>
      <c r="H49" s="26">
        <f t="shared" si="7"/>
        <v>95.871599999999987</v>
      </c>
      <c r="I49" s="19">
        <v>0</v>
      </c>
      <c r="J49" s="19">
        <v>3</v>
      </c>
      <c r="K49" s="19">
        <v>0</v>
      </c>
      <c r="L49" s="19">
        <v>0</v>
      </c>
      <c r="M49" s="19">
        <f t="shared" si="8"/>
        <v>3</v>
      </c>
      <c r="N49" s="14"/>
      <c r="O49" s="15"/>
      <c r="P49" s="16"/>
    </row>
    <row r="50" spans="1:16" x14ac:dyDescent="0.3">
      <c r="A50" s="13"/>
      <c r="B50" s="14" t="s">
        <v>60</v>
      </c>
      <c r="C50" s="15" t="s">
        <v>21</v>
      </c>
      <c r="D50" s="26">
        <v>1086.55</v>
      </c>
      <c r="E50" s="16" t="s">
        <v>53</v>
      </c>
      <c r="F50" s="26">
        <f t="shared" si="6"/>
        <v>130.386</v>
      </c>
      <c r="G50" s="19">
        <v>0</v>
      </c>
      <c r="H50" s="26">
        <f t="shared" si="7"/>
        <v>130.386</v>
      </c>
      <c r="I50" s="19">
        <v>0</v>
      </c>
      <c r="J50" s="19">
        <v>3</v>
      </c>
      <c r="K50" s="19">
        <v>0</v>
      </c>
      <c r="L50" s="19">
        <v>0</v>
      </c>
      <c r="M50" s="19">
        <f t="shared" si="8"/>
        <v>3</v>
      </c>
      <c r="N50" s="14"/>
      <c r="O50" s="15"/>
      <c r="P50" s="16"/>
    </row>
    <row r="51" spans="1:16" x14ac:dyDescent="0.3">
      <c r="A51" s="16"/>
      <c r="B51" s="14" t="s">
        <v>61</v>
      </c>
      <c r="C51" s="15" t="s">
        <v>22</v>
      </c>
      <c r="D51" s="26">
        <v>1084.55</v>
      </c>
      <c r="E51" s="16" t="s">
        <v>53</v>
      </c>
      <c r="F51" s="26">
        <f t="shared" si="6"/>
        <v>130.14599999999999</v>
      </c>
      <c r="G51" s="19">
        <v>0</v>
      </c>
      <c r="H51" s="26">
        <f t="shared" si="7"/>
        <v>130.14599999999999</v>
      </c>
      <c r="I51" s="19">
        <v>0</v>
      </c>
      <c r="J51" s="19">
        <v>3</v>
      </c>
      <c r="K51" s="19">
        <v>0</v>
      </c>
      <c r="L51" s="19">
        <v>0</v>
      </c>
      <c r="M51" s="19">
        <f t="shared" si="8"/>
        <v>3</v>
      </c>
      <c r="N51" s="14"/>
      <c r="O51" s="15"/>
      <c r="P51" s="16"/>
    </row>
    <row r="52" spans="1:16" x14ac:dyDescent="0.3">
      <c r="A52" s="16"/>
      <c r="B52" s="14" t="s">
        <v>62</v>
      </c>
      <c r="C52" s="15" t="s">
        <v>43</v>
      </c>
      <c r="D52" s="26">
        <v>33</v>
      </c>
      <c r="E52" s="16" t="s">
        <v>53</v>
      </c>
      <c r="F52" s="26">
        <f t="shared" si="6"/>
        <v>3.96</v>
      </c>
      <c r="G52" s="19">
        <v>0</v>
      </c>
      <c r="H52" s="26">
        <f t="shared" si="7"/>
        <v>3.96</v>
      </c>
      <c r="I52" s="19">
        <v>0</v>
      </c>
      <c r="J52" s="19">
        <v>0</v>
      </c>
      <c r="K52" s="19">
        <v>0</v>
      </c>
      <c r="L52" s="19">
        <v>0</v>
      </c>
      <c r="M52" s="19">
        <f t="shared" si="8"/>
        <v>0</v>
      </c>
      <c r="N52" s="14"/>
      <c r="O52" s="15"/>
      <c r="P52" s="16"/>
    </row>
    <row r="53" spans="1:16" ht="8.25" customHeight="1" x14ac:dyDescent="0.3">
      <c r="A53" s="6"/>
      <c r="B53" s="9"/>
      <c r="C53" s="11"/>
      <c r="D53" s="6"/>
      <c r="E53" s="6"/>
      <c r="F53" s="7"/>
      <c r="G53" s="7"/>
      <c r="H53" s="7"/>
      <c r="I53" s="7"/>
      <c r="J53" s="7"/>
      <c r="K53" s="7"/>
      <c r="L53" s="7"/>
      <c r="M53" s="7"/>
      <c r="N53" s="9"/>
      <c r="O53" s="11"/>
      <c r="P53" s="6"/>
    </row>
    <row r="54" spans="1:16" x14ac:dyDescent="0.3">
      <c r="F54" s="2"/>
      <c r="G54" s="2"/>
      <c r="H54" s="2"/>
      <c r="I54" s="2"/>
      <c r="J54" s="2"/>
      <c r="K54" s="2"/>
      <c r="L54" s="2"/>
      <c r="M54" s="2"/>
    </row>
  </sheetData>
  <mergeCells count="11">
    <mergeCell ref="A1:P1"/>
    <mergeCell ref="A6:A7"/>
    <mergeCell ref="B6:C6"/>
    <mergeCell ref="D6:D7"/>
    <mergeCell ref="E6:E7"/>
    <mergeCell ref="F6:H6"/>
    <mergeCell ref="I6:M6"/>
    <mergeCell ref="N6:O7"/>
    <mergeCell ref="P6:P7"/>
    <mergeCell ref="B7:C7"/>
    <mergeCell ref="O20:O21"/>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53"/>
  <sheetViews>
    <sheetView topLeftCell="A46" workbookViewId="0">
      <selection activeCell="A54" sqref="A54:XFD65"/>
    </sheetView>
  </sheetViews>
  <sheetFormatPr defaultColWidth="9.1796875" defaultRowHeight="14" x14ac:dyDescent="0.3"/>
  <cols>
    <col min="1" max="1" width="9.1796875" style="1"/>
    <col min="2" max="2" width="2.1796875" style="1" customWidth="1"/>
    <col min="3" max="3" width="18.81640625" style="1" bestFit="1" customWidth="1"/>
    <col min="4" max="4" width="13.54296875" style="1" customWidth="1"/>
    <col min="5" max="5" width="23.81640625" style="1" customWidth="1"/>
    <col min="6" max="6" width="7.54296875" style="1" bestFit="1" customWidth="1"/>
    <col min="7" max="7" width="8.81640625" style="1" customWidth="1"/>
    <col min="8" max="8" width="7.54296875" style="1" bestFit="1" customWidth="1"/>
    <col min="9" max="9" width="6.453125" style="1" bestFit="1" customWidth="1"/>
    <col min="10" max="10" width="6.81640625" style="1" bestFit="1" customWidth="1"/>
    <col min="11" max="11" width="10" style="1" bestFit="1" customWidth="1"/>
    <col min="12" max="12" width="5.54296875" style="1" bestFit="1" customWidth="1"/>
    <col min="13" max="13" width="6.81640625" style="1" bestFit="1" customWidth="1"/>
    <col min="14" max="14" width="2.1796875" style="1" customWidth="1"/>
    <col min="15" max="15" width="23.54296875" style="1" customWidth="1"/>
    <col min="16" max="16" width="13.7265625" style="1" customWidth="1"/>
    <col min="17" max="16384" width="9.1796875" style="1"/>
  </cols>
  <sheetData>
    <row r="1" spans="1:16" x14ac:dyDescent="0.3">
      <c r="A1" s="385" t="s">
        <v>0</v>
      </c>
      <c r="B1" s="385"/>
      <c r="C1" s="385"/>
      <c r="D1" s="385"/>
      <c r="E1" s="385"/>
      <c r="F1" s="385"/>
      <c r="G1" s="385"/>
      <c r="H1" s="385"/>
      <c r="I1" s="385"/>
      <c r="J1" s="385"/>
      <c r="K1" s="385"/>
      <c r="L1" s="385"/>
      <c r="M1" s="385"/>
      <c r="N1" s="385"/>
      <c r="O1" s="385"/>
      <c r="P1" s="385"/>
    </row>
    <row r="3" spans="1:16" x14ac:dyDescent="0.3">
      <c r="A3" s="1" t="s">
        <v>1</v>
      </c>
      <c r="B3" s="1" t="s">
        <v>78</v>
      </c>
      <c r="C3" s="1" t="s">
        <v>77</v>
      </c>
    </row>
    <row r="4" spans="1:16" x14ac:dyDescent="0.3">
      <c r="A4" s="1" t="s">
        <v>2</v>
      </c>
      <c r="B4" s="1" t="s">
        <v>78</v>
      </c>
      <c r="C4" s="4" t="s">
        <v>196</v>
      </c>
    </row>
    <row r="6" spans="1:16" x14ac:dyDescent="0.3">
      <c r="A6" s="386" t="s">
        <v>3</v>
      </c>
      <c r="B6" s="388" t="s">
        <v>4</v>
      </c>
      <c r="C6" s="388"/>
      <c r="D6" s="389" t="s">
        <v>6</v>
      </c>
      <c r="E6" s="391" t="s">
        <v>7</v>
      </c>
      <c r="F6" s="393" t="s">
        <v>8</v>
      </c>
      <c r="G6" s="393"/>
      <c r="H6" s="393"/>
      <c r="I6" s="393" t="s">
        <v>12</v>
      </c>
      <c r="J6" s="393"/>
      <c r="K6" s="393"/>
      <c r="L6" s="393"/>
      <c r="M6" s="393"/>
      <c r="N6" s="391" t="s">
        <v>17</v>
      </c>
      <c r="O6" s="391"/>
      <c r="P6" s="386" t="s">
        <v>18</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x14ac:dyDescent="0.3">
      <c r="A9" s="13">
        <v>1</v>
      </c>
      <c r="B9" s="14" t="s">
        <v>20</v>
      </c>
      <c r="C9" s="15"/>
      <c r="D9" s="16"/>
      <c r="E9" s="16"/>
      <c r="F9" s="16"/>
      <c r="G9" s="16"/>
      <c r="H9" s="16"/>
      <c r="I9" s="16"/>
      <c r="J9" s="16"/>
      <c r="K9" s="16"/>
      <c r="L9" s="16"/>
      <c r="M9" s="16"/>
      <c r="N9" s="14"/>
      <c r="O9" s="15"/>
      <c r="P9" s="16"/>
    </row>
    <row r="10" spans="1:16" x14ac:dyDescent="0.3">
      <c r="A10" s="13"/>
      <c r="B10" s="17" t="s">
        <v>57</v>
      </c>
      <c r="C10" s="15" t="s">
        <v>21</v>
      </c>
      <c r="D10" s="18">
        <v>403.56</v>
      </c>
      <c r="E10" s="16" t="s">
        <v>36</v>
      </c>
      <c r="F10" s="19">
        <v>0</v>
      </c>
      <c r="G10" s="19">
        <f>11%*April!D10</f>
        <v>44.391600000000004</v>
      </c>
      <c r="H10" s="19">
        <f>SUM(F10:G10)</f>
        <v>44.391600000000004</v>
      </c>
      <c r="I10" s="19">
        <v>0</v>
      </c>
      <c r="J10" s="19">
        <v>10</v>
      </c>
      <c r="K10" s="19">
        <v>0</v>
      </c>
      <c r="L10" s="19"/>
      <c r="M10" s="20">
        <f>SUM(I10:L10)</f>
        <v>10</v>
      </c>
      <c r="N10" s="17" t="s">
        <v>51</v>
      </c>
      <c r="O10" s="15" t="s">
        <v>47</v>
      </c>
      <c r="P10" s="16"/>
    </row>
    <row r="11" spans="1:16" x14ac:dyDescent="0.3">
      <c r="A11" s="13"/>
      <c r="B11" s="14"/>
      <c r="C11" s="15"/>
      <c r="D11" s="18"/>
      <c r="E11" s="16" t="s">
        <v>37</v>
      </c>
      <c r="F11" s="19">
        <v>0</v>
      </c>
      <c r="G11" s="19">
        <f>49%*D10</f>
        <v>197.74439999999998</v>
      </c>
      <c r="H11" s="19">
        <f>SUM(F11:G11)</f>
        <v>197.74439999999998</v>
      </c>
      <c r="I11" s="19">
        <v>0</v>
      </c>
      <c r="J11" s="19">
        <v>0</v>
      </c>
      <c r="K11" s="19">
        <v>0</v>
      </c>
      <c r="L11" s="19">
        <v>0</v>
      </c>
      <c r="M11" s="20">
        <f t="shared" ref="M11:M17" si="0">SUM(I11:L11)</f>
        <v>0</v>
      </c>
      <c r="N11" s="17" t="s">
        <v>51</v>
      </c>
      <c r="O11" s="25" t="s">
        <v>50</v>
      </c>
      <c r="P11" s="16"/>
    </row>
    <row r="12" spans="1:16" x14ac:dyDescent="0.3">
      <c r="A12" s="13"/>
      <c r="B12" s="14"/>
      <c r="C12" s="15"/>
      <c r="D12" s="18"/>
      <c r="E12" s="16" t="s">
        <v>38</v>
      </c>
      <c r="F12" s="19"/>
      <c r="G12" s="19">
        <f>60%*D10</f>
        <v>242.136</v>
      </c>
      <c r="H12" s="19">
        <f>SUM(F12:G12)</f>
        <v>242.136</v>
      </c>
      <c r="I12" s="19">
        <v>0</v>
      </c>
      <c r="J12" s="19"/>
      <c r="K12" s="19">
        <v>0</v>
      </c>
      <c r="L12" s="19">
        <v>0</v>
      </c>
      <c r="M12" s="20">
        <f t="shared" si="0"/>
        <v>0</v>
      </c>
      <c r="N12" s="17" t="s">
        <v>51</v>
      </c>
      <c r="O12" s="15" t="s">
        <v>49</v>
      </c>
      <c r="P12" s="16"/>
    </row>
    <row r="13" spans="1:16" ht="28" x14ac:dyDescent="0.3">
      <c r="A13" s="13"/>
      <c r="B13" s="14"/>
      <c r="C13" s="15"/>
      <c r="D13" s="18"/>
      <c r="E13" s="21" t="s">
        <v>39</v>
      </c>
      <c r="F13" s="19">
        <f>60%*D10</f>
        <v>242.136</v>
      </c>
      <c r="G13" s="19">
        <f>11%*April!D13</f>
        <v>0</v>
      </c>
      <c r="H13" s="19">
        <f>SUM(F13:G13)</f>
        <v>242.136</v>
      </c>
      <c r="I13" s="22">
        <v>0</v>
      </c>
      <c r="J13" s="22">
        <v>0</v>
      </c>
      <c r="K13" s="22">
        <v>0</v>
      </c>
      <c r="L13" s="22">
        <v>0</v>
      </c>
      <c r="M13" s="23">
        <f t="shared" si="0"/>
        <v>0</v>
      </c>
      <c r="N13" s="24" t="s">
        <v>51</v>
      </c>
      <c r="O13" s="31" t="s">
        <v>48</v>
      </c>
      <c r="P13" s="16"/>
    </row>
    <row r="14" spans="1:16" x14ac:dyDescent="0.3">
      <c r="A14" s="13"/>
      <c r="B14" s="17" t="s">
        <v>58</v>
      </c>
      <c r="C14" s="15" t="s">
        <v>22</v>
      </c>
      <c r="D14" s="18">
        <v>498</v>
      </c>
      <c r="E14" s="16" t="s">
        <v>36</v>
      </c>
      <c r="F14" s="19">
        <v>0</v>
      </c>
      <c r="G14" s="19">
        <v>50</v>
      </c>
      <c r="H14" s="19">
        <f t="shared" ref="H14:H17" si="1">SUM(F14:G14)</f>
        <v>50</v>
      </c>
      <c r="I14" s="19">
        <v>0</v>
      </c>
      <c r="J14" s="19">
        <v>0</v>
      </c>
      <c r="K14" s="19">
        <v>0</v>
      </c>
      <c r="L14" s="19">
        <v>0</v>
      </c>
      <c r="M14" s="20">
        <f t="shared" si="0"/>
        <v>0</v>
      </c>
      <c r="N14" s="14"/>
      <c r="P14" s="16"/>
    </row>
    <row r="15" spans="1:16" x14ac:dyDescent="0.3">
      <c r="A15" s="13"/>
      <c r="B15" s="14"/>
      <c r="C15" s="15"/>
      <c r="D15" s="26"/>
      <c r="E15" s="16" t="s">
        <v>37</v>
      </c>
      <c r="F15" s="19">
        <v>0</v>
      </c>
      <c r="G15" s="19">
        <v>406</v>
      </c>
      <c r="H15" s="19">
        <f t="shared" si="1"/>
        <v>406</v>
      </c>
      <c r="I15" s="19">
        <v>0</v>
      </c>
      <c r="J15" s="19">
        <v>0</v>
      </c>
      <c r="K15" s="19">
        <v>0</v>
      </c>
      <c r="L15" s="19">
        <v>0</v>
      </c>
      <c r="M15" s="20">
        <f t="shared" si="0"/>
        <v>0</v>
      </c>
      <c r="N15" s="14"/>
      <c r="O15" s="15"/>
      <c r="P15" s="16"/>
    </row>
    <row r="16" spans="1:16" x14ac:dyDescent="0.3">
      <c r="A16" s="13"/>
      <c r="B16" s="14"/>
      <c r="C16" s="15"/>
      <c r="D16" s="26"/>
      <c r="E16" s="16" t="s">
        <v>38</v>
      </c>
      <c r="F16" s="19">
        <v>0</v>
      </c>
      <c r="G16" s="19">
        <v>537</v>
      </c>
      <c r="H16" s="19">
        <f t="shared" si="1"/>
        <v>537</v>
      </c>
      <c r="I16" s="19">
        <v>0</v>
      </c>
      <c r="J16" s="19">
        <v>0</v>
      </c>
      <c r="K16" s="19">
        <v>0</v>
      </c>
      <c r="L16" s="19">
        <v>0</v>
      </c>
      <c r="M16" s="20">
        <f t="shared" si="0"/>
        <v>0</v>
      </c>
      <c r="N16" s="14"/>
      <c r="O16" s="15"/>
      <c r="P16" s="16"/>
    </row>
    <row r="17" spans="1:16" ht="28" x14ac:dyDescent="0.3">
      <c r="A17" s="13"/>
      <c r="B17" s="14"/>
      <c r="C17" s="15"/>
      <c r="D17" s="26"/>
      <c r="E17" s="27" t="s">
        <v>39</v>
      </c>
      <c r="F17" s="22">
        <v>45</v>
      </c>
      <c r="G17" s="22">
        <v>0</v>
      </c>
      <c r="H17" s="22">
        <f t="shared" si="1"/>
        <v>45</v>
      </c>
      <c r="I17" s="22">
        <v>0</v>
      </c>
      <c r="J17" s="22">
        <v>0</v>
      </c>
      <c r="K17" s="22">
        <v>0</v>
      </c>
      <c r="L17" s="22">
        <v>0</v>
      </c>
      <c r="M17" s="23">
        <f t="shared" si="0"/>
        <v>0</v>
      </c>
      <c r="N17" s="28"/>
      <c r="O17" s="25"/>
      <c r="P17" s="29"/>
    </row>
    <row r="18" spans="1:16" x14ac:dyDescent="0.3">
      <c r="A18" s="13"/>
      <c r="B18" s="14"/>
      <c r="C18" s="15"/>
      <c r="D18" s="26"/>
      <c r="E18" s="16"/>
      <c r="F18" s="16"/>
      <c r="G18" s="16"/>
      <c r="H18" s="16"/>
      <c r="I18" s="16"/>
      <c r="J18" s="16"/>
      <c r="K18" s="16"/>
      <c r="L18" s="16"/>
      <c r="M18" s="16"/>
      <c r="N18" s="14"/>
      <c r="O18" s="15"/>
      <c r="P18" s="16"/>
    </row>
    <row r="19" spans="1:16" x14ac:dyDescent="0.3">
      <c r="A19" s="13">
        <v>2</v>
      </c>
      <c r="B19" s="14" t="s">
        <v>23</v>
      </c>
      <c r="C19" s="15"/>
      <c r="D19" s="26"/>
      <c r="E19" s="16"/>
      <c r="F19" s="16"/>
      <c r="G19" s="16"/>
      <c r="H19" s="16"/>
      <c r="I19" s="16"/>
      <c r="J19" s="16"/>
      <c r="K19" s="16"/>
      <c r="L19" s="16"/>
      <c r="M19" s="16"/>
      <c r="N19" s="14"/>
      <c r="O19" s="15"/>
      <c r="P19" s="16"/>
    </row>
    <row r="20" spans="1:16" x14ac:dyDescent="0.3">
      <c r="A20" s="13"/>
      <c r="B20" s="14" t="s">
        <v>57</v>
      </c>
      <c r="C20" s="15" t="s">
        <v>22</v>
      </c>
      <c r="D20" s="26">
        <v>198</v>
      </c>
      <c r="E20" s="16" t="s">
        <v>40</v>
      </c>
      <c r="F20" s="19">
        <v>0</v>
      </c>
      <c r="G20" s="19">
        <v>150</v>
      </c>
      <c r="H20" s="19">
        <f t="shared" ref="H20:H21" si="2">SUM(F20:G20)</f>
        <v>150</v>
      </c>
      <c r="I20" s="19">
        <v>0</v>
      </c>
      <c r="J20" s="19">
        <v>5</v>
      </c>
      <c r="K20" s="19">
        <v>0</v>
      </c>
      <c r="L20" s="19">
        <v>0</v>
      </c>
      <c r="M20" s="20">
        <f t="shared" ref="M20:M21" si="3">SUM(I20:L20)</f>
        <v>5</v>
      </c>
      <c r="N20" s="17" t="s">
        <v>51</v>
      </c>
      <c r="O20" s="396" t="s">
        <v>54</v>
      </c>
      <c r="P20" s="16"/>
    </row>
    <row r="21" spans="1:16" ht="28" x14ac:dyDescent="0.3">
      <c r="A21" s="13"/>
      <c r="B21" s="14"/>
      <c r="C21" s="15"/>
      <c r="D21" s="26"/>
      <c r="E21" s="120" t="s">
        <v>197</v>
      </c>
      <c r="F21" s="97">
        <v>15</v>
      </c>
      <c r="G21" s="97">
        <v>0</v>
      </c>
      <c r="H21" s="97">
        <f t="shared" si="2"/>
        <v>15</v>
      </c>
      <c r="I21" s="19">
        <v>0</v>
      </c>
      <c r="J21" s="19">
        <v>5</v>
      </c>
      <c r="K21" s="19">
        <v>0</v>
      </c>
      <c r="L21" s="19">
        <v>0</v>
      </c>
      <c r="M21" s="20">
        <f t="shared" si="3"/>
        <v>5</v>
      </c>
      <c r="N21" s="14"/>
      <c r="O21" s="397"/>
      <c r="P21" s="16"/>
    </row>
    <row r="22" spans="1:16" x14ac:dyDescent="0.3">
      <c r="A22" s="13">
        <v>3</v>
      </c>
      <c r="B22" s="14" t="s">
        <v>19</v>
      </c>
      <c r="C22" s="15"/>
      <c r="D22" s="26"/>
      <c r="E22" s="16"/>
      <c r="F22" s="19"/>
      <c r="G22" s="19"/>
      <c r="H22" s="19"/>
      <c r="I22" s="19"/>
      <c r="J22" s="19"/>
      <c r="K22" s="19"/>
      <c r="L22" s="19"/>
      <c r="M22" s="19"/>
      <c r="N22" s="14"/>
      <c r="O22" s="15"/>
      <c r="P22" s="16"/>
    </row>
    <row r="23" spans="1:16" x14ac:dyDescent="0.3">
      <c r="A23" s="13"/>
      <c r="B23" s="14" t="s">
        <v>57</v>
      </c>
      <c r="C23" s="15" t="s">
        <v>24</v>
      </c>
      <c r="D23" s="26">
        <v>1372.2</v>
      </c>
      <c r="E23" s="30" t="s">
        <v>52</v>
      </c>
      <c r="F23" s="19">
        <v>0</v>
      </c>
      <c r="G23" s="26">
        <f t="shared" ref="G23:G42" si="4">11%*D23</f>
        <v>150.94200000000001</v>
      </c>
      <c r="H23" s="26">
        <f t="shared" ref="H23:H42" si="5">SUM(F23:G23)</f>
        <v>150.94200000000001</v>
      </c>
      <c r="I23" s="19">
        <v>0</v>
      </c>
      <c r="J23" s="19">
        <v>0</v>
      </c>
      <c r="K23" s="19">
        <v>0</v>
      </c>
      <c r="L23" s="19">
        <v>0</v>
      </c>
      <c r="M23" s="19">
        <f>SUM(I23:L23)</f>
        <v>0</v>
      </c>
      <c r="N23" s="14"/>
      <c r="O23" s="15" t="s">
        <v>199</v>
      </c>
      <c r="P23" s="16"/>
    </row>
    <row r="24" spans="1:16" x14ac:dyDescent="0.3">
      <c r="A24" s="13"/>
      <c r="B24" s="14" t="s">
        <v>58</v>
      </c>
      <c r="C24" s="15" t="s">
        <v>25</v>
      </c>
      <c r="D24" s="26">
        <v>995.2</v>
      </c>
      <c r="E24" s="30" t="s">
        <v>52</v>
      </c>
      <c r="F24" s="19">
        <v>0</v>
      </c>
      <c r="G24" s="26">
        <f t="shared" si="4"/>
        <v>109.47200000000001</v>
      </c>
      <c r="H24" s="26">
        <f t="shared" si="5"/>
        <v>109.47200000000001</v>
      </c>
      <c r="I24" s="19">
        <v>0</v>
      </c>
      <c r="J24" s="19">
        <v>0</v>
      </c>
      <c r="K24" s="19">
        <v>0</v>
      </c>
      <c r="L24" s="19">
        <v>0</v>
      </c>
      <c r="M24" s="19">
        <f t="shared" ref="M24:M43" si="6">SUM(I24:L24)</f>
        <v>0</v>
      </c>
      <c r="N24" s="14"/>
      <c r="O24" s="15" t="s">
        <v>200</v>
      </c>
      <c r="P24" s="16"/>
    </row>
    <row r="25" spans="1:16" x14ac:dyDescent="0.3">
      <c r="A25" s="13"/>
      <c r="B25" s="14" t="s">
        <v>59</v>
      </c>
      <c r="C25" s="15" t="s">
        <v>26</v>
      </c>
      <c r="D25" s="26">
        <v>716.5</v>
      </c>
      <c r="E25" s="30" t="s">
        <v>52</v>
      </c>
      <c r="F25" s="19">
        <v>0</v>
      </c>
      <c r="G25" s="26">
        <f t="shared" si="4"/>
        <v>78.814999999999998</v>
      </c>
      <c r="H25" s="26">
        <f t="shared" si="5"/>
        <v>78.814999999999998</v>
      </c>
      <c r="I25" s="19">
        <v>0</v>
      </c>
      <c r="J25" s="19">
        <v>0</v>
      </c>
      <c r="K25" s="19">
        <v>0</v>
      </c>
      <c r="L25" s="19">
        <v>0</v>
      </c>
      <c r="M25" s="19">
        <f t="shared" si="6"/>
        <v>0</v>
      </c>
      <c r="N25" s="14"/>
      <c r="O25" s="15" t="s">
        <v>133</v>
      </c>
      <c r="P25" s="16"/>
    </row>
    <row r="26" spans="1:16" x14ac:dyDescent="0.3">
      <c r="A26" s="13"/>
      <c r="B26" s="14" t="s">
        <v>60</v>
      </c>
      <c r="C26" s="15" t="s">
        <v>55</v>
      </c>
      <c r="D26" s="26">
        <v>955.3</v>
      </c>
      <c r="E26" s="30" t="s">
        <v>52</v>
      </c>
      <c r="F26" s="19">
        <v>0</v>
      </c>
      <c r="G26" s="26">
        <f t="shared" si="4"/>
        <v>105.083</v>
      </c>
      <c r="H26" s="26">
        <f t="shared" si="5"/>
        <v>105.083</v>
      </c>
      <c r="I26" s="19">
        <v>0</v>
      </c>
      <c r="J26" s="19">
        <v>0</v>
      </c>
      <c r="K26" s="19">
        <v>0</v>
      </c>
      <c r="L26" s="19">
        <v>0</v>
      </c>
      <c r="M26" s="19">
        <f t="shared" si="6"/>
        <v>0</v>
      </c>
      <c r="N26" s="14"/>
      <c r="O26" s="15"/>
      <c r="P26" s="16"/>
    </row>
    <row r="27" spans="1:16" x14ac:dyDescent="0.3">
      <c r="A27" s="13"/>
      <c r="B27" s="14" t="s">
        <v>61</v>
      </c>
      <c r="C27" s="15" t="s">
        <v>27</v>
      </c>
      <c r="D27" s="26">
        <v>901.2</v>
      </c>
      <c r="E27" s="30" t="s">
        <v>52</v>
      </c>
      <c r="F27" s="19">
        <v>0</v>
      </c>
      <c r="G27" s="26">
        <f t="shared" si="4"/>
        <v>99.132000000000005</v>
      </c>
      <c r="H27" s="26">
        <f t="shared" si="5"/>
        <v>99.132000000000005</v>
      </c>
      <c r="I27" s="19">
        <v>0</v>
      </c>
      <c r="J27" s="19">
        <v>0</v>
      </c>
      <c r="K27" s="19">
        <v>0</v>
      </c>
      <c r="L27" s="19">
        <v>0</v>
      </c>
      <c r="M27" s="19">
        <f t="shared" si="6"/>
        <v>0</v>
      </c>
      <c r="N27" s="14"/>
      <c r="O27" s="15"/>
      <c r="P27" s="16"/>
    </row>
    <row r="28" spans="1:16" x14ac:dyDescent="0.3">
      <c r="A28" s="13"/>
      <c r="B28" s="14" t="s">
        <v>62</v>
      </c>
      <c r="C28" s="15" t="s">
        <v>28</v>
      </c>
      <c r="D28" s="26">
        <v>871</v>
      </c>
      <c r="E28" s="30" t="s">
        <v>52</v>
      </c>
      <c r="F28" s="19">
        <v>0</v>
      </c>
      <c r="G28" s="26">
        <f t="shared" si="4"/>
        <v>95.81</v>
      </c>
      <c r="H28" s="26">
        <f t="shared" si="5"/>
        <v>95.81</v>
      </c>
      <c r="I28" s="19">
        <v>0</v>
      </c>
      <c r="J28" s="19">
        <v>0</v>
      </c>
      <c r="K28" s="19">
        <v>0</v>
      </c>
      <c r="L28" s="19">
        <v>0</v>
      </c>
      <c r="M28" s="19">
        <f t="shared" si="6"/>
        <v>0</v>
      </c>
      <c r="N28" s="14"/>
      <c r="O28" s="15"/>
      <c r="P28" s="16"/>
    </row>
    <row r="29" spans="1:16" x14ac:dyDescent="0.3">
      <c r="A29" s="13"/>
      <c r="B29" s="14" t="s">
        <v>63</v>
      </c>
      <c r="C29" s="15" t="s">
        <v>29</v>
      </c>
      <c r="D29" s="26">
        <v>1516</v>
      </c>
      <c r="E29" s="30" t="s">
        <v>52</v>
      </c>
      <c r="F29" s="19">
        <v>0</v>
      </c>
      <c r="G29" s="26">
        <f t="shared" si="4"/>
        <v>166.76</v>
      </c>
      <c r="H29" s="26">
        <f t="shared" si="5"/>
        <v>166.76</v>
      </c>
      <c r="I29" s="19">
        <v>0</v>
      </c>
      <c r="J29" s="19">
        <v>0</v>
      </c>
      <c r="K29" s="19">
        <v>0</v>
      </c>
      <c r="L29" s="19">
        <v>0</v>
      </c>
      <c r="M29" s="19">
        <f t="shared" si="6"/>
        <v>0</v>
      </c>
      <c r="N29" s="14"/>
      <c r="O29" s="15"/>
      <c r="P29" s="16"/>
    </row>
    <row r="30" spans="1:16" x14ac:dyDescent="0.3">
      <c r="A30" s="13"/>
      <c r="B30" s="14" t="s">
        <v>64</v>
      </c>
      <c r="C30" s="15" t="s">
        <v>56</v>
      </c>
      <c r="D30" s="26">
        <v>97.2</v>
      </c>
      <c r="E30" s="30" t="s">
        <v>52</v>
      </c>
      <c r="F30" s="19">
        <v>0</v>
      </c>
      <c r="G30" s="26">
        <f t="shared" si="4"/>
        <v>10.692</v>
      </c>
      <c r="H30" s="26">
        <f t="shared" si="5"/>
        <v>10.692</v>
      </c>
      <c r="I30" s="19">
        <v>0</v>
      </c>
      <c r="J30" s="19">
        <v>0</v>
      </c>
      <c r="K30" s="19">
        <v>0</v>
      </c>
      <c r="L30" s="19">
        <v>0</v>
      </c>
      <c r="M30" s="19">
        <f t="shared" si="6"/>
        <v>0</v>
      </c>
      <c r="N30" s="14"/>
      <c r="O30" s="15"/>
      <c r="P30" s="16"/>
    </row>
    <row r="31" spans="1:16" x14ac:dyDescent="0.3">
      <c r="A31" s="13"/>
      <c r="B31" s="14" t="s">
        <v>65</v>
      </c>
      <c r="C31" s="15" t="s">
        <v>30</v>
      </c>
      <c r="D31" s="26">
        <v>1502.3</v>
      </c>
      <c r="E31" s="30" t="s">
        <v>52</v>
      </c>
      <c r="F31" s="19">
        <v>0</v>
      </c>
      <c r="G31" s="26">
        <f t="shared" si="4"/>
        <v>165.25299999999999</v>
      </c>
      <c r="H31" s="26">
        <f t="shared" si="5"/>
        <v>165.25299999999999</v>
      </c>
      <c r="I31" s="19">
        <v>0</v>
      </c>
      <c r="J31" s="19">
        <v>0</v>
      </c>
      <c r="K31" s="19">
        <v>0</v>
      </c>
      <c r="L31" s="19">
        <v>0</v>
      </c>
      <c r="M31" s="19">
        <f t="shared" si="6"/>
        <v>0</v>
      </c>
      <c r="N31" s="14"/>
      <c r="O31" s="15"/>
      <c r="P31" s="16"/>
    </row>
    <row r="32" spans="1:16" x14ac:dyDescent="0.3">
      <c r="A32" s="13"/>
      <c r="B32" s="14" t="s">
        <v>66</v>
      </c>
      <c r="C32" s="15" t="s">
        <v>31</v>
      </c>
      <c r="D32" s="26">
        <v>1518</v>
      </c>
      <c r="E32" s="30" t="s">
        <v>52</v>
      </c>
      <c r="F32" s="19">
        <v>0</v>
      </c>
      <c r="G32" s="26">
        <f t="shared" si="4"/>
        <v>166.98</v>
      </c>
      <c r="H32" s="26">
        <f t="shared" si="5"/>
        <v>166.98</v>
      </c>
      <c r="I32" s="19">
        <v>0</v>
      </c>
      <c r="J32" s="19">
        <v>0</v>
      </c>
      <c r="K32" s="19">
        <v>0</v>
      </c>
      <c r="L32" s="19">
        <v>0</v>
      </c>
      <c r="M32" s="19">
        <f t="shared" si="6"/>
        <v>0</v>
      </c>
      <c r="N32" s="14"/>
      <c r="O32" s="15"/>
      <c r="P32" s="16"/>
    </row>
    <row r="33" spans="1:16" x14ac:dyDescent="0.3">
      <c r="A33" s="13"/>
      <c r="B33" s="14" t="s">
        <v>67</v>
      </c>
      <c r="C33" s="15" t="s">
        <v>32</v>
      </c>
      <c r="D33" s="26">
        <v>997.4</v>
      </c>
      <c r="E33" s="30" t="s">
        <v>52</v>
      </c>
      <c r="F33" s="19">
        <v>0</v>
      </c>
      <c r="G33" s="26">
        <f t="shared" si="4"/>
        <v>109.714</v>
      </c>
      <c r="H33" s="26">
        <f t="shared" si="5"/>
        <v>109.714</v>
      </c>
      <c r="I33" s="19">
        <v>0</v>
      </c>
      <c r="J33" s="19">
        <v>0</v>
      </c>
      <c r="K33" s="19">
        <v>0</v>
      </c>
      <c r="L33" s="19">
        <v>0</v>
      </c>
      <c r="M33" s="19">
        <f t="shared" si="6"/>
        <v>0</v>
      </c>
      <c r="N33" s="14"/>
      <c r="O33" s="15"/>
      <c r="P33" s="16"/>
    </row>
    <row r="34" spans="1:16" x14ac:dyDescent="0.3">
      <c r="A34" s="13"/>
      <c r="B34" s="14" t="s">
        <v>68</v>
      </c>
      <c r="C34" s="15" t="s">
        <v>33</v>
      </c>
      <c r="D34" s="26">
        <v>1304</v>
      </c>
      <c r="E34" s="30" t="s">
        <v>52</v>
      </c>
      <c r="F34" s="19">
        <v>0</v>
      </c>
      <c r="G34" s="26">
        <f t="shared" si="4"/>
        <v>143.44</v>
      </c>
      <c r="H34" s="26">
        <f t="shared" si="5"/>
        <v>143.44</v>
      </c>
      <c r="I34" s="19">
        <v>0</v>
      </c>
      <c r="J34" s="19">
        <v>0</v>
      </c>
      <c r="K34" s="19">
        <v>0</v>
      </c>
      <c r="L34" s="19">
        <v>0</v>
      </c>
      <c r="M34" s="19">
        <f t="shared" si="6"/>
        <v>0</v>
      </c>
      <c r="N34" s="14"/>
      <c r="O34" s="15"/>
      <c r="P34" s="16"/>
    </row>
    <row r="35" spans="1:16" x14ac:dyDescent="0.3">
      <c r="A35" s="13"/>
      <c r="B35" s="14" t="s">
        <v>69</v>
      </c>
      <c r="C35" s="15" t="s">
        <v>34</v>
      </c>
      <c r="D35" s="26">
        <v>1704</v>
      </c>
      <c r="E35" s="30" t="s">
        <v>52</v>
      </c>
      <c r="F35" s="19">
        <v>0</v>
      </c>
      <c r="G35" s="26">
        <f t="shared" si="4"/>
        <v>187.44</v>
      </c>
      <c r="H35" s="26">
        <f t="shared" si="5"/>
        <v>187.44</v>
      </c>
      <c r="I35" s="19">
        <v>0</v>
      </c>
      <c r="J35" s="19">
        <v>0</v>
      </c>
      <c r="K35" s="19">
        <v>0</v>
      </c>
      <c r="L35" s="19">
        <v>0</v>
      </c>
      <c r="M35" s="19">
        <f t="shared" si="6"/>
        <v>0</v>
      </c>
      <c r="N35" s="14"/>
      <c r="O35" s="15"/>
      <c r="P35" s="16"/>
    </row>
    <row r="36" spans="1:16" x14ac:dyDescent="0.3">
      <c r="A36" s="13"/>
      <c r="B36" s="14" t="s">
        <v>70</v>
      </c>
      <c r="C36" s="15" t="s">
        <v>35</v>
      </c>
      <c r="D36" s="26">
        <v>1557</v>
      </c>
      <c r="E36" s="30" t="s">
        <v>52</v>
      </c>
      <c r="F36" s="19">
        <v>0</v>
      </c>
      <c r="G36" s="26">
        <f t="shared" si="4"/>
        <v>171.27</v>
      </c>
      <c r="H36" s="26">
        <f t="shared" si="5"/>
        <v>171.27</v>
      </c>
      <c r="I36" s="19">
        <v>0</v>
      </c>
      <c r="J36" s="19">
        <v>0</v>
      </c>
      <c r="K36" s="19">
        <v>0</v>
      </c>
      <c r="L36" s="19">
        <v>0</v>
      </c>
      <c r="M36" s="19">
        <f t="shared" si="6"/>
        <v>0</v>
      </c>
      <c r="N36" s="14"/>
      <c r="O36" s="15"/>
      <c r="P36" s="16"/>
    </row>
    <row r="37" spans="1:16" x14ac:dyDescent="0.3">
      <c r="A37" s="13"/>
      <c r="B37" s="14" t="s">
        <v>71</v>
      </c>
      <c r="C37" s="15" t="s">
        <v>21</v>
      </c>
      <c r="D37" s="26">
        <v>1669</v>
      </c>
      <c r="E37" s="30" t="s">
        <v>52</v>
      </c>
      <c r="F37" s="19">
        <v>0</v>
      </c>
      <c r="G37" s="26">
        <f t="shared" si="4"/>
        <v>183.59</v>
      </c>
      <c r="H37" s="26">
        <f t="shared" si="5"/>
        <v>183.59</v>
      </c>
      <c r="I37" s="19">
        <v>0</v>
      </c>
      <c r="J37" s="19">
        <v>0</v>
      </c>
      <c r="K37" s="19">
        <v>0</v>
      </c>
      <c r="L37" s="19">
        <v>0</v>
      </c>
      <c r="M37" s="19">
        <f t="shared" si="6"/>
        <v>0</v>
      </c>
      <c r="N37" s="14"/>
      <c r="O37" s="15"/>
      <c r="P37" s="16"/>
    </row>
    <row r="38" spans="1:16" x14ac:dyDescent="0.3">
      <c r="A38" s="13"/>
      <c r="B38" s="14" t="s">
        <v>72</v>
      </c>
      <c r="C38" s="15" t="s">
        <v>42</v>
      </c>
      <c r="D38" s="26">
        <v>773</v>
      </c>
      <c r="E38" s="30" t="s">
        <v>52</v>
      </c>
      <c r="F38" s="19">
        <v>0</v>
      </c>
      <c r="G38" s="26">
        <f t="shared" si="4"/>
        <v>85.03</v>
      </c>
      <c r="H38" s="26">
        <f t="shared" si="5"/>
        <v>85.03</v>
      </c>
      <c r="I38" s="19">
        <v>0</v>
      </c>
      <c r="J38" s="19">
        <v>0</v>
      </c>
      <c r="K38" s="19">
        <v>0</v>
      </c>
      <c r="L38" s="19">
        <v>0</v>
      </c>
      <c r="M38" s="19">
        <f t="shared" si="6"/>
        <v>0</v>
      </c>
      <c r="N38" s="14"/>
      <c r="O38" s="15"/>
      <c r="P38" s="16"/>
    </row>
    <row r="39" spans="1:16" x14ac:dyDescent="0.3">
      <c r="A39" s="13"/>
      <c r="B39" s="14"/>
      <c r="C39" s="15"/>
      <c r="D39" s="26"/>
      <c r="E39" s="16" t="s">
        <v>45</v>
      </c>
      <c r="F39" s="19">
        <v>0</v>
      </c>
      <c r="G39" s="26">
        <f t="shared" si="4"/>
        <v>0</v>
      </c>
      <c r="H39" s="26">
        <f t="shared" si="5"/>
        <v>0</v>
      </c>
      <c r="I39" s="19">
        <v>0</v>
      </c>
      <c r="J39" s="19">
        <v>0</v>
      </c>
      <c r="K39" s="19">
        <v>0</v>
      </c>
      <c r="L39" s="19">
        <v>0</v>
      </c>
      <c r="M39" s="19">
        <f t="shared" si="6"/>
        <v>0</v>
      </c>
      <c r="N39" s="14"/>
      <c r="O39" s="15"/>
      <c r="P39" s="16"/>
    </row>
    <row r="40" spans="1:16" x14ac:dyDescent="0.3">
      <c r="A40" s="13"/>
      <c r="B40" s="14" t="s">
        <v>73</v>
      </c>
      <c r="C40" s="15" t="s">
        <v>22</v>
      </c>
      <c r="D40" s="26">
        <v>1146</v>
      </c>
      <c r="E40" s="30" t="s">
        <v>52</v>
      </c>
      <c r="F40" s="19">
        <v>0</v>
      </c>
      <c r="G40" s="26">
        <f t="shared" si="4"/>
        <v>126.06</v>
      </c>
      <c r="H40" s="26">
        <f t="shared" si="5"/>
        <v>126.06</v>
      </c>
      <c r="I40" s="19">
        <v>0</v>
      </c>
      <c r="J40" s="19">
        <v>0</v>
      </c>
      <c r="K40" s="19">
        <v>0</v>
      </c>
      <c r="L40" s="19">
        <v>0</v>
      </c>
      <c r="M40" s="19">
        <f t="shared" si="6"/>
        <v>0</v>
      </c>
      <c r="N40" s="14"/>
      <c r="O40" s="15"/>
      <c r="P40" s="16"/>
    </row>
    <row r="41" spans="1:16" x14ac:dyDescent="0.3">
      <c r="A41" s="13"/>
      <c r="B41" s="14"/>
      <c r="C41" s="15"/>
      <c r="D41" s="26"/>
      <c r="E41" s="16" t="s">
        <v>45</v>
      </c>
      <c r="F41" s="19">
        <v>0</v>
      </c>
      <c r="G41" s="26">
        <f t="shared" si="4"/>
        <v>0</v>
      </c>
      <c r="H41" s="26">
        <f t="shared" si="5"/>
        <v>0</v>
      </c>
      <c r="I41" s="19">
        <v>0</v>
      </c>
      <c r="J41" s="19">
        <v>0</v>
      </c>
      <c r="K41" s="19">
        <v>0</v>
      </c>
      <c r="L41" s="19">
        <v>0</v>
      </c>
      <c r="M41" s="19">
        <f t="shared" si="6"/>
        <v>0</v>
      </c>
      <c r="N41" s="14"/>
      <c r="O41" s="15"/>
      <c r="P41" s="16"/>
    </row>
    <row r="42" spans="1:16" x14ac:dyDescent="0.3">
      <c r="A42" s="13"/>
      <c r="B42" s="14" t="s">
        <v>74</v>
      </c>
      <c r="C42" s="15" t="s">
        <v>43</v>
      </c>
      <c r="D42" s="26">
        <v>1189</v>
      </c>
      <c r="E42" s="30" t="s">
        <v>52</v>
      </c>
      <c r="F42" s="19">
        <v>0</v>
      </c>
      <c r="G42" s="26">
        <f t="shared" si="4"/>
        <v>130.79</v>
      </c>
      <c r="H42" s="26">
        <f t="shared" si="5"/>
        <v>130.79</v>
      </c>
      <c r="I42" s="19">
        <v>0</v>
      </c>
      <c r="J42" s="19">
        <v>0</v>
      </c>
      <c r="K42" s="19">
        <v>0</v>
      </c>
      <c r="L42" s="19">
        <v>0</v>
      </c>
      <c r="M42" s="19">
        <f t="shared" si="6"/>
        <v>0</v>
      </c>
      <c r="N42" s="14"/>
      <c r="O42" s="15"/>
      <c r="P42" s="16"/>
    </row>
    <row r="43" spans="1:16" x14ac:dyDescent="0.3">
      <c r="A43" s="13"/>
      <c r="B43" s="14" t="s">
        <v>75</v>
      </c>
      <c r="C43" s="15" t="s">
        <v>44</v>
      </c>
      <c r="D43" s="26">
        <v>1391</v>
      </c>
      <c r="E43" s="30" t="s">
        <v>52</v>
      </c>
      <c r="F43" s="19">
        <v>0</v>
      </c>
      <c r="G43" s="26">
        <f>8%*D43</f>
        <v>111.28</v>
      </c>
      <c r="H43" s="26">
        <f t="shared" ref="H43" si="7">SUM(F43:G43)</f>
        <v>111.28</v>
      </c>
      <c r="I43" s="19">
        <v>0</v>
      </c>
      <c r="J43" s="19">
        <v>0</v>
      </c>
      <c r="K43" s="19">
        <v>0</v>
      </c>
      <c r="L43" s="19">
        <v>0</v>
      </c>
      <c r="M43" s="19">
        <f t="shared" si="6"/>
        <v>0</v>
      </c>
      <c r="N43" s="14"/>
      <c r="O43" s="15"/>
      <c r="P43" s="16"/>
    </row>
    <row r="44" spans="1:16" x14ac:dyDescent="0.3">
      <c r="A44" s="13"/>
      <c r="B44" s="14"/>
      <c r="C44" s="15"/>
      <c r="D44" s="16"/>
      <c r="E44" s="16"/>
      <c r="F44" s="19"/>
      <c r="G44" s="19"/>
      <c r="H44" s="19"/>
      <c r="I44" s="19"/>
      <c r="J44" s="19"/>
      <c r="K44" s="19"/>
      <c r="L44" s="19"/>
      <c r="M44" s="19"/>
      <c r="N44" s="14"/>
      <c r="O44" s="15"/>
      <c r="P44" s="16"/>
    </row>
    <row r="45" spans="1:16" x14ac:dyDescent="0.3">
      <c r="A45" s="13">
        <v>4</v>
      </c>
      <c r="B45" s="14" t="s">
        <v>46</v>
      </c>
      <c r="C45" s="15"/>
      <c r="D45" s="26"/>
      <c r="E45" s="16"/>
      <c r="F45" s="19"/>
      <c r="G45" s="19"/>
      <c r="H45" s="19"/>
      <c r="I45" s="19"/>
      <c r="J45" s="19"/>
      <c r="K45" s="19"/>
      <c r="L45" s="19"/>
      <c r="M45" s="19"/>
      <c r="N45" s="14"/>
      <c r="O45" s="15"/>
      <c r="P45" s="16"/>
    </row>
    <row r="46" spans="1:16" x14ac:dyDescent="0.3">
      <c r="A46" s="13"/>
      <c r="B46" s="14" t="s">
        <v>57</v>
      </c>
      <c r="C46" s="15" t="s">
        <v>29</v>
      </c>
      <c r="D46" s="26">
        <v>175</v>
      </c>
      <c r="E46" s="16" t="s">
        <v>76</v>
      </c>
      <c r="F46" s="26">
        <f t="shared" ref="F46:F51" si="8">15%*D46</f>
        <v>26.25</v>
      </c>
      <c r="G46" s="19">
        <v>0</v>
      </c>
      <c r="H46" s="26">
        <f t="shared" ref="H46:H51" si="9">SUM(F46:G46)</f>
        <v>26.25</v>
      </c>
      <c r="I46" s="19">
        <v>0</v>
      </c>
      <c r="J46" s="19">
        <v>0</v>
      </c>
      <c r="K46" s="19">
        <v>0</v>
      </c>
      <c r="L46" s="19">
        <v>0</v>
      </c>
      <c r="M46" s="19">
        <f>SUM(I46:L46)</f>
        <v>0</v>
      </c>
      <c r="N46" s="14"/>
      <c r="O46" s="15" t="s">
        <v>93</v>
      </c>
      <c r="P46" s="16"/>
    </row>
    <row r="47" spans="1:16" x14ac:dyDescent="0.3">
      <c r="A47" s="13"/>
      <c r="B47" s="14" t="s">
        <v>58</v>
      </c>
      <c r="C47" s="15" t="s">
        <v>33</v>
      </c>
      <c r="D47" s="26">
        <v>270</v>
      </c>
      <c r="E47" s="16" t="s">
        <v>53</v>
      </c>
      <c r="F47" s="26">
        <f t="shared" si="8"/>
        <v>40.5</v>
      </c>
      <c r="G47" s="19">
        <v>0</v>
      </c>
      <c r="H47" s="26">
        <f t="shared" si="9"/>
        <v>40.5</v>
      </c>
      <c r="I47" s="19">
        <v>0</v>
      </c>
      <c r="J47" s="19">
        <v>0</v>
      </c>
      <c r="K47" s="19">
        <v>0</v>
      </c>
      <c r="L47" s="19">
        <v>0</v>
      </c>
      <c r="M47" s="19">
        <f t="shared" ref="M47:M51" si="10">SUM(I47:L47)</f>
        <v>0</v>
      </c>
      <c r="N47" s="14"/>
      <c r="O47" s="15" t="s">
        <v>94</v>
      </c>
      <c r="P47" s="16"/>
    </row>
    <row r="48" spans="1:16" x14ac:dyDescent="0.3">
      <c r="A48" s="13"/>
      <c r="B48" s="14" t="s">
        <v>59</v>
      </c>
      <c r="C48" s="15" t="s">
        <v>42</v>
      </c>
      <c r="D48" s="26">
        <v>798.93</v>
      </c>
      <c r="E48" s="16" t="s">
        <v>53</v>
      </c>
      <c r="F48" s="26">
        <f t="shared" si="8"/>
        <v>119.83949999999999</v>
      </c>
      <c r="G48" s="19">
        <v>0</v>
      </c>
      <c r="H48" s="26">
        <f t="shared" si="9"/>
        <v>119.83949999999999</v>
      </c>
      <c r="I48" s="19">
        <v>0</v>
      </c>
      <c r="J48" s="19">
        <v>5</v>
      </c>
      <c r="K48" s="19">
        <v>0</v>
      </c>
      <c r="L48" s="19">
        <v>0</v>
      </c>
      <c r="M48" s="19">
        <f t="shared" si="10"/>
        <v>5</v>
      </c>
      <c r="N48" s="14"/>
      <c r="O48" s="15"/>
      <c r="P48" s="16"/>
    </row>
    <row r="49" spans="1:16" x14ac:dyDescent="0.3">
      <c r="A49" s="13"/>
      <c r="B49" s="14" t="s">
        <v>60</v>
      </c>
      <c r="C49" s="15" t="s">
        <v>21</v>
      </c>
      <c r="D49" s="26">
        <v>1086.55</v>
      </c>
      <c r="E49" s="16" t="s">
        <v>53</v>
      </c>
      <c r="F49" s="26">
        <f t="shared" si="8"/>
        <v>162.98249999999999</v>
      </c>
      <c r="G49" s="19">
        <v>0</v>
      </c>
      <c r="H49" s="26">
        <f t="shared" si="9"/>
        <v>162.98249999999999</v>
      </c>
      <c r="I49" s="19">
        <v>0</v>
      </c>
      <c r="J49" s="19">
        <v>5</v>
      </c>
      <c r="K49" s="19">
        <v>0</v>
      </c>
      <c r="L49" s="19">
        <v>0</v>
      </c>
      <c r="M49" s="19">
        <f t="shared" si="10"/>
        <v>5</v>
      </c>
      <c r="N49" s="14"/>
      <c r="O49" s="15"/>
      <c r="P49" s="16"/>
    </row>
    <row r="50" spans="1:16" x14ac:dyDescent="0.3">
      <c r="A50" s="16"/>
      <c r="B50" s="14" t="s">
        <v>61</v>
      </c>
      <c r="C50" s="15" t="s">
        <v>22</v>
      </c>
      <c r="D50" s="26">
        <v>1084.55</v>
      </c>
      <c r="E50" s="16" t="s">
        <v>53</v>
      </c>
      <c r="F50" s="26">
        <f t="shared" si="8"/>
        <v>162.68249999999998</v>
      </c>
      <c r="G50" s="19">
        <v>0</v>
      </c>
      <c r="H50" s="26">
        <f t="shared" si="9"/>
        <v>162.68249999999998</v>
      </c>
      <c r="I50" s="19">
        <v>0</v>
      </c>
      <c r="J50" s="19">
        <v>5</v>
      </c>
      <c r="K50" s="19">
        <v>0</v>
      </c>
      <c r="L50" s="19">
        <v>0</v>
      </c>
      <c r="M50" s="19">
        <f t="shared" si="10"/>
        <v>5</v>
      </c>
      <c r="N50" s="14"/>
      <c r="O50" s="15"/>
      <c r="P50" s="16"/>
    </row>
    <row r="51" spans="1:16" x14ac:dyDescent="0.3">
      <c r="A51" s="16"/>
      <c r="B51" s="14" t="s">
        <v>62</v>
      </c>
      <c r="C51" s="15" t="s">
        <v>43</v>
      </c>
      <c r="D51" s="26">
        <v>33</v>
      </c>
      <c r="E51" s="16" t="s">
        <v>53</v>
      </c>
      <c r="F51" s="26">
        <f t="shared" si="8"/>
        <v>4.95</v>
      </c>
      <c r="G51" s="19">
        <v>0</v>
      </c>
      <c r="H51" s="26">
        <f t="shared" si="9"/>
        <v>4.95</v>
      </c>
      <c r="I51" s="19">
        <v>0</v>
      </c>
      <c r="J51" s="19">
        <v>0</v>
      </c>
      <c r="K51" s="19">
        <v>0</v>
      </c>
      <c r="L51" s="19">
        <v>0</v>
      </c>
      <c r="M51" s="19">
        <f t="shared" si="10"/>
        <v>0</v>
      </c>
      <c r="N51" s="14"/>
      <c r="O51" s="15"/>
      <c r="P51" s="16"/>
    </row>
    <row r="52" spans="1:16" ht="8.25" customHeight="1" x14ac:dyDescent="0.3">
      <c r="A52" s="6"/>
      <c r="B52" s="9"/>
      <c r="C52" s="11"/>
      <c r="D52" s="6"/>
      <c r="E52" s="6"/>
      <c r="F52" s="7"/>
      <c r="G52" s="7"/>
      <c r="H52" s="7"/>
      <c r="I52" s="7"/>
      <c r="J52" s="7"/>
      <c r="K52" s="7"/>
      <c r="L52" s="7"/>
      <c r="M52" s="7"/>
      <c r="N52" s="9"/>
      <c r="O52" s="11"/>
      <c r="P52" s="6"/>
    </row>
    <row r="53" spans="1:16" x14ac:dyDescent="0.3">
      <c r="F53" s="2"/>
      <c r="G53" s="2"/>
      <c r="H53" s="2"/>
      <c r="I53" s="2"/>
      <c r="J53" s="2"/>
      <c r="K53" s="2"/>
      <c r="L53" s="2"/>
      <c r="M53" s="2"/>
    </row>
  </sheetData>
  <mergeCells count="11">
    <mergeCell ref="A1:P1"/>
    <mergeCell ref="A6:A7"/>
    <mergeCell ref="B6:C6"/>
    <mergeCell ref="D6:D7"/>
    <mergeCell ref="E6:E7"/>
    <mergeCell ref="F6:H6"/>
    <mergeCell ref="I6:M6"/>
    <mergeCell ref="N6:O7"/>
    <mergeCell ref="P6:P7"/>
    <mergeCell ref="B7:C7"/>
    <mergeCell ref="O20:O21"/>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54"/>
  <sheetViews>
    <sheetView topLeftCell="A46" workbookViewId="0">
      <selection activeCell="A55" sqref="A55:XFD65"/>
    </sheetView>
  </sheetViews>
  <sheetFormatPr defaultColWidth="9.1796875" defaultRowHeight="14" x14ac:dyDescent="0.3"/>
  <cols>
    <col min="1" max="1" width="9.1796875" style="1"/>
    <col min="2" max="2" width="2.1796875" style="1" customWidth="1"/>
    <col min="3" max="3" width="18.81640625" style="1" bestFit="1" customWidth="1"/>
    <col min="4" max="4" width="13.54296875" style="1" customWidth="1"/>
    <col min="5" max="5" width="23.81640625" style="1" customWidth="1"/>
    <col min="6" max="6" width="7.54296875" style="1" bestFit="1" customWidth="1"/>
    <col min="7" max="7" width="8.81640625" style="1" customWidth="1"/>
    <col min="8" max="8" width="7.54296875" style="1" bestFit="1" customWidth="1"/>
    <col min="9" max="9" width="6.453125" style="1" bestFit="1" customWidth="1"/>
    <col min="10" max="10" width="6.81640625" style="1" bestFit="1" customWidth="1"/>
    <col min="11" max="11" width="10" style="1" bestFit="1" customWidth="1"/>
    <col min="12" max="12" width="5.54296875" style="1" bestFit="1" customWidth="1"/>
    <col min="13" max="13" width="6.81640625" style="1" bestFit="1" customWidth="1"/>
    <col min="14" max="14" width="2.1796875" style="1" customWidth="1"/>
    <col min="15" max="15" width="23.54296875" style="1" customWidth="1"/>
    <col min="16" max="16" width="13.7265625" style="1" customWidth="1"/>
    <col min="17" max="16384" width="9.1796875" style="1"/>
  </cols>
  <sheetData>
    <row r="1" spans="1:16" x14ac:dyDescent="0.3">
      <c r="A1" s="385" t="s">
        <v>0</v>
      </c>
      <c r="B1" s="385"/>
      <c r="C1" s="385"/>
      <c r="D1" s="385"/>
      <c r="E1" s="385"/>
      <c r="F1" s="385"/>
      <c r="G1" s="385"/>
      <c r="H1" s="385"/>
      <c r="I1" s="385"/>
      <c r="J1" s="385"/>
      <c r="K1" s="385"/>
      <c r="L1" s="385"/>
      <c r="M1" s="385"/>
      <c r="N1" s="385"/>
      <c r="O1" s="385"/>
      <c r="P1" s="385"/>
    </row>
    <row r="3" spans="1:16" x14ac:dyDescent="0.3">
      <c r="A3" s="1" t="s">
        <v>1</v>
      </c>
      <c r="B3" s="1" t="s">
        <v>78</v>
      </c>
      <c r="C3" s="1" t="s">
        <v>77</v>
      </c>
    </row>
    <row r="4" spans="1:16" x14ac:dyDescent="0.3">
      <c r="A4" s="1" t="s">
        <v>2</v>
      </c>
      <c r="B4" s="1" t="s">
        <v>78</v>
      </c>
      <c r="C4" s="4" t="s">
        <v>79</v>
      </c>
    </row>
    <row r="6" spans="1:16" x14ac:dyDescent="0.3">
      <c r="A6" s="386" t="s">
        <v>3</v>
      </c>
      <c r="B6" s="388" t="s">
        <v>4</v>
      </c>
      <c r="C6" s="388"/>
      <c r="D6" s="389" t="s">
        <v>6</v>
      </c>
      <c r="E6" s="391" t="s">
        <v>7</v>
      </c>
      <c r="F6" s="393" t="s">
        <v>8</v>
      </c>
      <c r="G6" s="393"/>
      <c r="H6" s="393"/>
      <c r="I6" s="393" t="s">
        <v>12</v>
      </c>
      <c r="J6" s="393"/>
      <c r="K6" s="393"/>
      <c r="L6" s="393"/>
      <c r="M6" s="393"/>
      <c r="N6" s="391" t="s">
        <v>17</v>
      </c>
      <c r="O6" s="391"/>
      <c r="P6" s="386" t="s">
        <v>18</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x14ac:dyDescent="0.3">
      <c r="A9" s="13">
        <v>1</v>
      </c>
      <c r="B9" s="14" t="s">
        <v>20</v>
      </c>
      <c r="C9" s="15"/>
      <c r="D9" s="16"/>
      <c r="E9" s="16"/>
      <c r="F9" s="16"/>
      <c r="G9" s="16"/>
      <c r="H9" s="16"/>
      <c r="I9" s="16"/>
      <c r="J9" s="16"/>
      <c r="K9" s="16"/>
      <c r="L9" s="16"/>
      <c r="M9" s="16"/>
      <c r="N9" s="14"/>
      <c r="O9" s="15"/>
      <c r="P9" s="16"/>
    </row>
    <row r="10" spans="1:16" x14ac:dyDescent="0.3">
      <c r="A10" s="13"/>
      <c r="B10" s="17" t="s">
        <v>57</v>
      </c>
      <c r="C10" s="15" t="s">
        <v>21</v>
      </c>
      <c r="D10" s="18">
        <v>403.56</v>
      </c>
      <c r="E10" s="16" t="s">
        <v>36</v>
      </c>
      <c r="F10" s="19">
        <v>0</v>
      </c>
      <c r="G10" s="19">
        <v>50</v>
      </c>
      <c r="H10" s="19">
        <f>SUM(F10:G10)</f>
        <v>50</v>
      </c>
      <c r="I10" s="19">
        <v>0</v>
      </c>
      <c r="J10" s="19">
        <v>10</v>
      </c>
      <c r="K10" s="19">
        <v>0</v>
      </c>
      <c r="L10" s="19">
        <v>10</v>
      </c>
      <c r="M10" s="20">
        <f>SUM(I10:L10)</f>
        <v>20</v>
      </c>
      <c r="N10" s="17" t="s">
        <v>51</v>
      </c>
      <c r="O10" s="15" t="s">
        <v>47</v>
      </c>
      <c r="P10" s="16"/>
    </row>
    <row r="11" spans="1:16" x14ac:dyDescent="0.3">
      <c r="A11" s="13"/>
      <c r="B11" s="14"/>
      <c r="C11" s="15"/>
      <c r="D11" s="18"/>
      <c r="E11" s="16" t="s">
        <v>37</v>
      </c>
      <c r="F11" s="19">
        <v>0</v>
      </c>
      <c r="G11" s="19">
        <v>325</v>
      </c>
      <c r="H11" s="19">
        <f t="shared" ref="H11:H17" si="0">SUM(F11:G11)</f>
        <v>325</v>
      </c>
      <c r="I11" s="19">
        <v>0</v>
      </c>
      <c r="J11" s="19">
        <v>0</v>
      </c>
      <c r="K11" s="19">
        <v>0</v>
      </c>
      <c r="L11" s="19">
        <v>0</v>
      </c>
      <c r="M11" s="20">
        <f t="shared" ref="M11:M17" si="1">SUM(I11:L11)</f>
        <v>0</v>
      </c>
      <c r="N11" s="17" t="s">
        <v>51</v>
      </c>
      <c r="O11" s="25" t="s">
        <v>50</v>
      </c>
      <c r="P11" s="16"/>
    </row>
    <row r="12" spans="1:16" x14ac:dyDescent="0.3">
      <c r="A12" s="13"/>
      <c r="B12" s="14"/>
      <c r="C12" s="15"/>
      <c r="D12" s="18"/>
      <c r="E12" s="16" t="s">
        <v>38</v>
      </c>
      <c r="F12" s="19">
        <v>0</v>
      </c>
      <c r="G12" s="19">
        <v>310</v>
      </c>
      <c r="H12" s="19">
        <f t="shared" si="0"/>
        <v>310</v>
      </c>
      <c r="I12" s="19">
        <v>0</v>
      </c>
      <c r="J12" s="19">
        <v>5</v>
      </c>
      <c r="K12" s="19">
        <v>0</v>
      </c>
      <c r="L12" s="19">
        <v>0</v>
      </c>
      <c r="M12" s="20">
        <f t="shared" si="1"/>
        <v>5</v>
      </c>
      <c r="N12" s="17" t="s">
        <v>51</v>
      </c>
      <c r="O12" s="15" t="s">
        <v>49</v>
      </c>
      <c r="P12" s="16"/>
    </row>
    <row r="13" spans="1:16" ht="28" x14ac:dyDescent="0.3">
      <c r="A13" s="13"/>
      <c r="B13" s="14"/>
      <c r="C13" s="15"/>
      <c r="D13" s="18"/>
      <c r="E13" s="21" t="s">
        <v>39</v>
      </c>
      <c r="F13" s="22">
        <v>50</v>
      </c>
      <c r="G13" s="22">
        <v>0</v>
      </c>
      <c r="H13" s="22">
        <f t="shared" si="0"/>
        <v>50</v>
      </c>
      <c r="I13" s="22">
        <v>0</v>
      </c>
      <c r="J13" s="22">
        <v>0</v>
      </c>
      <c r="K13" s="22">
        <v>0</v>
      </c>
      <c r="L13" s="22">
        <v>0</v>
      </c>
      <c r="M13" s="23">
        <f t="shared" si="1"/>
        <v>0</v>
      </c>
      <c r="N13" s="24" t="s">
        <v>51</v>
      </c>
      <c r="O13" s="31" t="s">
        <v>48</v>
      </c>
      <c r="P13" s="16"/>
    </row>
    <row r="14" spans="1:16" x14ac:dyDescent="0.3">
      <c r="A14" s="13"/>
      <c r="B14" s="17" t="s">
        <v>58</v>
      </c>
      <c r="C14" s="15" t="s">
        <v>22</v>
      </c>
      <c r="D14" s="18">
        <v>498</v>
      </c>
      <c r="E14" s="16" t="s">
        <v>36</v>
      </c>
      <c r="F14" s="19">
        <v>0</v>
      </c>
      <c r="G14" s="19">
        <v>50</v>
      </c>
      <c r="H14" s="19">
        <f t="shared" si="0"/>
        <v>50</v>
      </c>
      <c r="I14" s="19">
        <v>0</v>
      </c>
      <c r="J14" s="19">
        <v>0</v>
      </c>
      <c r="K14" s="19">
        <v>0</v>
      </c>
      <c r="L14" s="19">
        <v>0</v>
      </c>
      <c r="M14" s="20">
        <f t="shared" si="1"/>
        <v>0</v>
      </c>
      <c r="N14" s="14"/>
      <c r="P14" s="16"/>
    </row>
    <row r="15" spans="1:16" x14ac:dyDescent="0.3">
      <c r="A15" s="13"/>
      <c r="B15" s="14"/>
      <c r="C15" s="15"/>
      <c r="D15" s="26"/>
      <c r="E15" s="16" t="s">
        <v>37</v>
      </c>
      <c r="F15" s="19">
        <v>0</v>
      </c>
      <c r="G15" s="19">
        <v>406</v>
      </c>
      <c r="H15" s="19">
        <f t="shared" si="0"/>
        <v>406</v>
      </c>
      <c r="I15" s="19">
        <v>0</v>
      </c>
      <c r="J15" s="19">
        <v>0</v>
      </c>
      <c r="K15" s="19">
        <v>0</v>
      </c>
      <c r="L15" s="19">
        <v>0</v>
      </c>
      <c r="M15" s="20">
        <f t="shared" si="1"/>
        <v>0</v>
      </c>
      <c r="N15" s="14"/>
      <c r="O15" s="15"/>
      <c r="P15" s="16"/>
    </row>
    <row r="16" spans="1:16" x14ac:dyDescent="0.3">
      <c r="A16" s="13"/>
      <c r="B16" s="14"/>
      <c r="C16" s="15"/>
      <c r="D16" s="26"/>
      <c r="E16" s="16" t="s">
        <v>38</v>
      </c>
      <c r="F16" s="19">
        <v>0</v>
      </c>
      <c r="G16" s="19">
        <v>537</v>
      </c>
      <c r="H16" s="19">
        <f t="shared" si="0"/>
        <v>537</v>
      </c>
      <c r="I16" s="19">
        <v>0</v>
      </c>
      <c r="J16" s="19">
        <v>0</v>
      </c>
      <c r="K16" s="19">
        <v>0</v>
      </c>
      <c r="L16" s="19">
        <v>0</v>
      </c>
      <c r="M16" s="20">
        <f t="shared" si="1"/>
        <v>0</v>
      </c>
      <c r="N16" s="14"/>
      <c r="O16" s="15"/>
      <c r="P16" s="16"/>
    </row>
    <row r="17" spans="1:16" ht="28" x14ac:dyDescent="0.3">
      <c r="A17" s="13"/>
      <c r="B17" s="14"/>
      <c r="C17" s="15"/>
      <c r="D17" s="26"/>
      <c r="E17" s="27" t="s">
        <v>39</v>
      </c>
      <c r="F17" s="22">
        <v>45</v>
      </c>
      <c r="G17" s="22">
        <v>0</v>
      </c>
      <c r="H17" s="22">
        <f t="shared" si="0"/>
        <v>45</v>
      </c>
      <c r="I17" s="22">
        <v>0</v>
      </c>
      <c r="J17" s="22">
        <v>0</v>
      </c>
      <c r="K17" s="22">
        <v>0</v>
      </c>
      <c r="L17" s="22">
        <v>0</v>
      </c>
      <c r="M17" s="23">
        <f t="shared" si="1"/>
        <v>0</v>
      </c>
      <c r="N17" s="28"/>
      <c r="O17" s="25"/>
      <c r="P17" s="29"/>
    </row>
    <row r="18" spans="1:16" x14ac:dyDescent="0.3">
      <c r="A18" s="13"/>
      <c r="B18" s="14"/>
      <c r="C18" s="15"/>
      <c r="D18" s="26"/>
      <c r="E18" s="16"/>
      <c r="F18" s="16"/>
      <c r="G18" s="16"/>
      <c r="H18" s="16"/>
      <c r="I18" s="16"/>
      <c r="J18" s="16"/>
      <c r="K18" s="16"/>
      <c r="L18" s="16"/>
      <c r="M18" s="16"/>
      <c r="N18" s="14"/>
      <c r="O18" s="15"/>
      <c r="P18" s="16"/>
    </row>
    <row r="19" spans="1:16" x14ac:dyDescent="0.3">
      <c r="A19" s="13">
        <v>2</v>
      </c>
      <c r="B19" s="14" t="s">
        <v>23</v>
      </c>
      <c r="C19" s="15"/>
      <c r="D19" s="26"/>
      <c r="E19" s="16"/>
      <c r="F19" s="16"/>
      <c r="G19" s="16"/>
      <c r="H19" s="16"/>
      <c r="I19" s="16"/>
      <c r="J19" s="16"/>
      <c r="K19" s="16"/>
      <c r="L19" s="16"/>
      <c r="M19" s="16"/>
      <c r="N19" s="14"/>
      <c r="O19" s="15"/>
      <c r="P19" s="16"/>
    </row>
    <row r="20" spans="1:16" x14ac:dyDescent="0.3">
      <c r="A20" s="13"/>
      <c r="B20" s="14" t="s">
        <v>57</v>
      </c>
      <c r="C20" s="15" t="s">
        <v>22</v>
      </c>
      <c r="D20" s="26">
        <v>198</v>
      </c>
      <c r="E20" s="16" t="s">
        <v>40</v>
      </c>
      <c r="F20" s="19">
        <v>0</v>
      </c>
      <c r="G20" s="19">
        <v>158</v>
      </c>
      <c r="H20" s="19">
        <f t="shared" ref="H20:H21" si="2">SUM(F20:G20)</f>
        <v>158</v>
      </c>
      <c r="I20" s="19">
        <v>0</v>
      </c>
      <c r="J20" s="19">
        <v>10</v>
      </c>
      <c r="K20" s="19">
        <v>0</v>
      </c>
      <c r="L20" s="19">
        <v>0</v>
      </c>
      <c r="M20" s="20">
        <f t="shared" ref="M20:M21" si="3">SUM(I20:L20)</f>
        <v>10</v>
      </c>
      <c r="N20" s="17" t="s">
        <v>51</v>
      </c>
      <c r="O20" s="396" t="s">
        <v>54</v>
      </c>
      <c r="P20" s="16"/>
    </row>
    <row r="21" spans="1:16" x14ac:dyDescent="0.3">
      <c r="A21" s="13"/>
      <c r="B21" s="14"/>
      <c r="C21" s="15"/>
      <c r="D21" s="26"/>
      <c r="E21" s="16"/>
      <c r="F21" s="19"/>
      <c r="G21" s="19">
        <v>0</v>
      </c>
      <c r="H21" s="19">
        <f t="shared" si="2"/>
        <v>0</v>
      </c>
      <c r="I21" s="19">
        <v>0</v>
      </c>
      <c r="J21" s="19">
        <v>0</v>
      </c>
      <c r="K21" s="19">
        <v>0</v>
      </c>
      <c r="L21" s="19">
        <v>0</v>
      </c>
      <c r="M21" s="20">
        <f t="shared" si="3"/>
        <v>0</v>
      </c>
      <c r="N21" s="14"/>
      <c r="O21" s="397"/>
      <c r="P21" s="16"/>
    </row>
    <row r="22" spans="1:16" x14ac:dyDescent="0.3">
      <c r="A22" s="13"/>
      <c r="B22" s="14"/>
      <c r="C22" s="15"/>
      <c r="D22" s="26"/>
      <c r="E22" s="16"/>
      <c r="F22" s="19"/>
      <c r="G22" s="19"/>
      <c r="H22" s="19"/>
      <c r="I22" s="19"/>
      <c r="J22" s="19"/>
      <c r="K22" s="19"/>
      <c r="L22" s="19"/>
      <c r="M22" s="19"/>
      <c r="N22" s="14"/>
      <c r="O22" s="15"/>
      <c r="P22" s="16"/>
    </row>
    <row r="23" spans="1:16" x14ac:dyDescent="0.3">
      <c r="A23" s="13">
        <v>3</v>
      </c>
      <c r="B23" s="14" t="s">
        <v>19</v>
      </c>
      <c r="C23" s="15"/>
      <c r="D23" s="26"/>
      <c r="E23" s="16"/>
      <c r="F23" s="19"/>
      <c r="G23" s="19"/>
      <c r="H23" s="19"/>
      <c r="I23" s="19"/>
      <c r="J23" s="19"/>
      <c r="K23" s="19"/>
      <c r="L23" s="19"/>
      <c r="M23" s="19"/>
      <c r="N23" s="14"/>
      <c r="O23" s="15"/>
      <c r="P23" s="16"/>
    </row>
    <row r="24" spans="1:16" x14ac:dyDescent="0.3">
      <c r="A24" s="13"/>
      <c r="B24" s="14" t="s">
        <v>57</v>
      </c>
      <c r="C24" s="15" t="s">
        <v>24</v>
      </c>
      <c r="D24" s="26">
        <v>1372.2</v>
      </c>
      <c r="E24" s="30" t="s">
        <v>52</v>
      </c>
      <c r="F24" s="19">
        <v>0</v>
      </c>
      <c r="G24" s="26">
        <v>137.22</v>
      </c>
      <c r="H24" s="26">
        <f>SUM(F24:G24)</f>
        <v>137.22</v>
      </c>
      <c r="I24" s="19">
        <v>0</v>
      </c>
      <c r="J24" s="19">
        <v>0</v>
      </c>
      <c r="K24" s="19">
        <v>0</v>
      </c>
      <c r="L24" s="19">
        <v>0</v>
      </c>
      <c r="M24" s="19">
        <f>SUM(I24:L24)</f>
        <v>0</v>
      </c>
      <c r="N24" s="14"/>
      <c r="O24" s="15"/>
      <c r="P24" s="16"/>
    </row>
    <row r="25" spans="1:16" x14ac:dyDescent="0.3">
      <c r="A25" s="13"/>
      <c r="B25" s="14" t="s">
        <v>58</v>
      </c>
      <c r="C25" s="15" t="s">
        <v>25</v>
      </c>
      <c r="D25" s="26">
        <v>995.2</v>
      </c>
      <c r="E25" s="30" t="s">
        <v>52</v>
      </c>
      <c r="F25" s="19">
        <v>0</v>
      </c>
      <c r="G25" s="26">
        <v>99.52</v>
      </c>
      <c r="H25" s="26">
        <f t="shared" ref="H25:H44" si="4">SUM(F25:G25)</f>
        <v>99.52</v>
      </c>
      <c r="I25" s="19">
        <v>0</v>
      </c>
      <c r="J25" s="19">
        <v>0</v>
      </c>
      <c r="K25" s="19">
        <v>0</v>
      </c>
      <c r="L25" s="19">
        <v>0</v>
      </c>
      <c r="M25" s="19">
        <f t="shared" ref="M25:M44" si="5">SUM(I25:L25)</f>
        <v>0</v>
      </c>
      <c r="N25" s="14"/>
      <c r="O25" s="15"/>
      <c r="P25" s="16"/>
    </row>
    <row r="26" spans="1:16" x14ac:dyDescent="0.3">
      <c r="A26" s="13"/>
      <c r="B26" s="14" t="s">
        <v>59</v>
      </c>
      <c r="C26" s="15" t="s">
        <v>26</v>
      </c>
      <c r="D26" s="26">
        <v>716.5</v>
      </c>
      <c r="E26" s="30" t="s">
        <v>52</v>
      </c>
      <c r="F26" s="19">
        <v>0</v>
      </c>
      <c r="G26" s="26">
        <v>72.650000000000006</v>
      </c>
      <c r="H26" s="26">
        <f t="shared" si="4"/>
        <v>72.650000000000006</v>
      </c>
      <c r="I26" s="19">
        <v>0</v>
      </c>
      <c r="J26" s="19">
        <v>0</v>
      </c>
      <c r="K26" s="19">
        <v>0</v>
      </c>
      <c r="L26" s="19">
        <v>0</v>
      </c>
      <c r="M26" s="19">
        <f t="shared" si="5"/>
        <v>0</v>
      </c>
      <c r="N26" s="14"/>
      <c r="O26" s="15"/>
      <c r="P26" s="16"/>
    </row>
    <row r="27" spans="1:16" x14ac:dyDescent="0.3">
      <c r="A27" s="13"/>
      <c r="B27" s="14" t="s">
        <v>60</v>
      </c>
      <c r="C27" s="15" t="s">
        <v>55</v>
      </c>
      <c r="D27" s="26">
        <v>955.3</v>
      </c>
      <c r="E27" s="30" t="s">
        <v>52</v>
      </c>
      <c r="F27" s="19">
        <v>0</v>
      </c>
      <c r="G27" s="26">
        <v>95</v>
      </c>
      <c r="H27" s="26">
        <f t="shared" si="4"/>
        <v>95</v>
      </c>
      <c r="I27" s="19">
        <v>0</v>
      </c>
      <c r="J27" s="19">
        <v>0</v>
      </c>
      <c r="K27" s="19">
        <v>0</v>
      </c>
      <c r="L27" s="19">
        <v>0</v>
      </c>
      <c r="M27" s="19">
        <f t="shared" si="5"/>
        <v>0</v>
      </c>
      <c r="N27" s="14"/>
      <c r="O27" s="15"/>
      <c r="P27" s="16"/>
    </row>
    <row r="28" spans="1:16" x14ac:dyDescent="0.3">
      <c r="A28" s="13"/>
      <c r="B28" s="14" t="s">
        <v>61</v>
      </c>
      <c r="C28" s="15" t="s">
        <v>27</v>
      </c>
      <c r="D28" s="26">
        <v>901.2</v>
      </c>
      <c r="E28" s="30" t="s">
        <v>52</v>
      </c>
      <c r="F28" s="19">
        <v>0</v>
      </c>
      <c r="G28" s="26">
        <v>90</v>
      </c>
      <c r="H28" s="26">
        <f t="shared" si="4"/>
        <v>90</v>
      </c>
      <c r="I28" s="19">
        <v>0</v>
      </c>
      <c r="J28" s="19">
        <v>0</v>
      </c>
      <c r="K28" s="19">
        <v>0</v>
      </c>
      <c r="L28" s="19">
        <v>0</v>
      </c>
      <c r="M28" s="19">
        <f t="shared" si="5"/>
        <v>0</v>
      </c>
      <c r="N28" s="14"/>
      <c r="O28" s="15"/>
      <c r="P28" s="16"/>
    </row>
    <row r="29" spans="1:16" x14ac:dyDescent="0.3">
      <c r="A29" s="13"/>
      <c r="B29" s="14" t="s">
        <v>62</v>
      </c>
      <c r="C29" s="15" t="s">
        <v>28</v>
      </c>
      <c r="D29" s="26">
        <v>871</v>
      </c>
      <c r="E29" s="30" t="s">
        <v>52</v>
      </c>
      <c r="F29" s="19">
        <v>0</v>
      </c>
      <c r="G29" s="26">
        <v>87</v>
      </c>
      <c r="H29" s="26">
        <f t="shared" si="4"/>
        <v>87</v>
      </c>
      <c r="I29" s="19">
        <v>0</v>
      </c>
      <c r="J29" s="19">
        <v>0</v>
      </c>
      <c r="K29" s="19">
        <v>0</v>
      </c>
      <c r="L29" s="19">
        <v>0</v>
      </c>
      <c r="M29" s="19">
        <f t="shared" si="5"/>
        <v>0</v>
      </c>
      <c r="N29" s="14"/>
      <c r="O29" s="15"/>
      <c r="P29" s="16"/>
    </row>
    <row r="30" spans="1:16" x14ac:dyDescent="0.3">
      <c r="A30" s="13"/>
      <c r="B30" s="14" t="s">
        <v>63</v>
      </c>
      <c r="C30" s="15" t="s">
        <v>29</v>
      </c>
      <c r="D30" s="26">
        <v>1516</v>
      </c>
      <c r="E30" s="30" t="s">
        <v>52</v>
      </c>
      <c r="F30" s="19">
        <v>0</v>
      </c>
      <c r="G30" s="26">
        <v>151.5</v>
      </c>
      <c r="H30" s="26">
        <f t="shared" si="4"/>
        <v>151.5</v>
      </c>
      <c r="I30" s="19">
        <v>0</v>
      </c>
      <c r="J30" s="19">
        <v>0</v>
      </c>
      <c r="K30" s="19">
        <v>0</v>
      </c>
      <c r="L30" s="19">
        <v>0</v>
      </c>
      <c r="M30" s="19">
        <f t="shared" si="5"/>
        <v>0</v>
      </c>
      <c r="N30" s="14"/>
      <c r="O30" s="15"/>
      <c r="P30" s="16"/>
    </row>
    <row r="31" spans="1:16" x14ac:dyDescent="0.3">
      <c r="A31" s="13"/>
      <c r="B31" s="14" t="s">
        <v>64</v>
      </c>
      <c r="C31" s="15" t="s">
        <v>56</v>
      </c>
      <c r="D31" s="26">
        <v>97.2</v>
      </c>
      <c r="E31" s="30" t="s">
        <v>52</v>
      </c>
      <c r="F31" s="19">
        <v>0</v>
      </c>
      <c r="G31" s="26">
        <v>9.5</v>
      </c>
      <c r="H31" s="26">
        <f t="shared" si="4"/>
        <v>9.5</v>
      </c>
      <c r="I31" s="19">
        <v>0</v>
      </c>
      <c r="J31" s="19">
        <v>0</v>
      </c>
      <c r="K31" s="19">
        <v>0</v>
      </c>
      <c r="L31" s="19">
        <v>0</v>
      </c>
      <c r="M31" s="19">
        <f t="shared" si="5"/>
        <v>0</v>
      </c>
      <c r="N31" s="14"/>
      <c r="O31" s="15"/>
      <c r="P31" s="16"/>
    </row>
    <row r="32" spans="1:16" x14ac:dyDescent="0.3">
      <c r="A32" s="13"/>
      <c r="B32" s="14" t="s">
        <v>65</v>
      </c>
      <c r="C32" s="15" t="s">
        <v>30</v>
      </c>
      <c r="D32" s="26">
        <v>1502.3</v>
      </c>
      <c r="E32" s="30" t="s">
        <v>52</v>
      </c>
      <c r="F32" s="19">
        <v>0</v>
      </c>
      <c r="G32" s="26">
        <v>150</v>
      </c>
      <c r="H32" s="26">
        <f t="shared" si="4"/>
        <v>150</v>
      </c>
      <c r="I32" s="19">
        <v>0</v>
      </c>
      <c r="J32" s="19">
        <v>0</v>
      </c>
      <c r="K32" s="19">
        <v>0</v>
      </c>
      <c r="L32" s="19">
        <v>0</v>
      </c>
      <c r="M32" s="19">
        <f t="shared" si="5"/>
        <v>0</v>
      </c>
      <c r="N32" s="14"/>
      <c r="O32" s="15"/>
      <c r="P32" s="16"/>
    </row>
    <row r="33" spans="1:16" x14ac:dyDescent="0.3">
      <c r="A33" s="13"/>
      <c r="B33" s="14" t="s">
        <v>66</v>
      </c>
      <c r="C33" s="15" t="s">
        <v>31</v>
      </c>
      <c r="D33" s="26">
        <v>1518</v>
      </c>
      <c r="E33" s="30" t="s">
        <v>52</v>
      </c>
      <c r="F33" s="19">
        <v>0</v>
      </c>
      <c r="G33" s="26">
        <v>151</v>
      </c>
      <c r="H33" s="26">
        <f t="shared" si="4"/>
        <v>151</v>
      </c>
      <c r="I33" s="19">
        <v>0</v>
      </c>
      <c r="J33" s="19">
        <v>0</v>
      </c>
      <c r="K33" s="19">
        <v>0</v>
      </c>
      <c r="L33" s="19">
        <v>0</v>
      </c>
      <c r="M33" s="19">
        <f t="shared" si="5"/>
        <v>0</v>
      </c>
      <c r="N33" s="14"/>
      <c r="O33" s="15"/>
      <c r="P33" s="16"/>
    </row>
    <row r="34" spans="1:16" x14ac:dyDescent="0.3">
      <c r="A34" s="13"/>
      <c r="B34" s="14" t="s">
        <v>67</v>
      </c>
      <c r="C34" s="15" t="s">
        <v>32</v>
      </c>
      <c r="D34" s="26">
        <v>997.4</v>
      </c>
      <c r="E34" s="30" t="s">
        <v>52</v>
      </c>
      <c r="F34" s="19">
        <v>0</v>
      </c>
      <c r="G34" s="26">
        <v>99.5</v>
      </c>
      <c r="H34" s="26">
        <f t="shared" si="4"/>
        <v>99.5</v>
      </c>
      <c r="I34" s="19">
        <v>0</v>
      </c>
      <c r="J34" s="19">
        <v>0</v>
      </c>
      <c r="K34" s="19">
        <v>0</v>
      </c>
      <c r="L34" s="19">
        <v>0</v>
      </c>
      <c r="M34" s="19">
        <f t="shared" si="5"/>
        <v>0</v>
      </c>
      <c r="N34" s="14"/>
      <c r="O34" s="15"/>
      <c r="P34" s="16"/>
    </row>
    <row r="35" spans="1:16" x14ac:dyDescent="0.3">
      <c r="A35" s="13"/>
      <c r="B35" s="14" t="s">
        <v>68</v>
      </c>
      <c r="C35" s="15" t="s">
        <v>33</v>
      </c>
      <c r="D35" s="26">
        <v>1304</v>
      </c>
      <c r="E35" s="30" t="s">
        <v>52</v>
      </c>
      <c r="F35" s="19">
        <v>0</v>
      </c>
      <c r="G35" s="26">
        <v>129</v>
      </c>
      <c r="H35" s="26">
        <f t="shared" si="4"/>
        <v>129</v>
      </c>
      <c r="I35" s="19">
        <v>0</v>
      </c>
      <c r="J35" s="19">
        <v>0</v>
      </c>
      <c r="K35" s="19">
        <v>0</v>
      </c>
      <c r="L35" s="19">
        <v>0</v>
      </c>
      <c r="M35" s="19">
        <f t="shared" si="5"/>
        <v>0</v>
      </c>
      <c r="N35" s="14"/>
      <c r="O35" s="15"/>
      <c r="P35" s="16"/>
    </row>
    <row r="36" spans="1:16" x14ac:dyDescent="0.3">
      <c r="A36" s="13"/>
      <c r="B36" s="14" t="s">
        <v>69</v>
      </c>
      <c r="C36" s="15" t="s">
        <v>34</v>
      </c>
      <c r="D36" s="26">
        <v>1704</v>
      </c>
      <c r="E36" s="30" t="s">
        <v>52</v>
      </c>
      <c r="F36" s="19">
        <v>0</v>
      </c>
      <c r="G36" s="26">
        <v>170</v>
      </c>
      <c r="H36" s="26">
        <f t="shared" si="4"/>
        <v>170</v>
      </c>
      <c r="I36" s="19">
        <v>0</v>
      </c>
      <c r="J36" s="19">
        <v>0</v>
      </c>
      <c r="K36" s="19">
        <v>0</v>
      </c>
      <c r="L36" s="19">
        <v>0</v>
      </c>
      <c r="M36" s="19">
        <f t="shared" si="5"/>
        <v>0</v>
      </c>
      <c r="N36" s="14"/>
      <c r="O36" s="15"/>
      <c r="P36" s="16"/>
    </row>
    <row r="37" spans="1:16" x14ac:dyDescent="0.3">
      <c r="A37" s="13"/>
      <c r="B37" s="14" t="s">
        <v>70</v>
      </c>
      <c r="C37" s="15" t="s">
        <v>35</v>
      </c>
      <c r="D37" s="26">
        <v>1557</v>
      </c>
      <c r="E37" s="30" t="s">
        <v>52</v>
      </c>
      <c r="F37" s="19">
        <v>0</v>
      </c>
      <c r="G37" s="26">
        <v>154</v>
      </c>
      <c r="H37" s="26">
        <f t="shared" si="4"/>
        <v>154</v>
      </c>
      <c r="I37" s="19">
        <v>0</v>
      </c>
      <c r="J37" s="19">
        <v>0</v>
      </c>
      <c r="K37" s="19">
        <v>0</v>
      </c>
      <c r="L37" s="19">
        <v>0</v>
      </c>
      <c r="M37" s="19">
        <f t="shared" si="5"/>
        <v>0</v>
      </c>
      <c r="N37" s="14"/>
      <c r="O37" s="15"/>
      <c r="P37" s="16"/>
    </row>
    <row r="38" spans="1:16" x14ac:dyDescent="0.3">
      <c r="A38" s="13"/>
      <c r="B38" s="14" t="s">
        <v>71</v>
      </c>
      <c r="C38" s="15" t="s">
        <v>21</v>
      </c>
      <c r="D38" s="26">
        <v>1669</v>
      </c>
      <c r="E38" s="30" t="s">
        <v>52</v>
      </c>
      <c r="F38" s="19">
        <v>0</v>
      </c>
      <c r="G38" s="26">
        <v>165</v>
      </c>
      <c r="H38" s="26">
        <f t="shared" si="4"/>
        <v>165</v>
      </c>
      <c r="I38" s="19">
        <v>0</v>
      </c>
      <c r="J38" s="19">
        <v>0</v>
      </c>
      <c r="K38" s="19">
        <v>0</v>
      </c>
      <c r="L38" s="19">
        <v>0</v>
      </c>
      <c r="M38" s="19">
        <f t="shared" si="5"/>
        <v>0</v>
      </c>
      <c r="N38" s="14"/>
      <c r="O38" s="15"/>
      <c r="P38" s="16"/>
    </row>
    <row r="39" spans="1:16" x14ac:dyDescent="0.3">
      <c r="A39" s="13"/>
      <c r="B39" s="14" t="s">
        <v>72</v>
      </c>
      <c r="C39" s="15" t="s">
        <v>42</v>
      </c>
      <c r="D39" s="26">
        <v>773</v>
      </c>
      <c r="E39" s="30" t="s">
        <v>52</v>
      </c>
      <c r="F39" s="19">
        <v>0</v>
      </c>
      <c r="G39" s="26">
        <v>75</v>
      </c>
      <c r="H39" s="26">
        <f t="shared" si="4"/>
        <v>75</v>
      </c>
      <c r="I39" s="19">
        <v>0</v>
      </c>
      <c r="J39" s="19">
        <v>0</v>
      </c>
      <c r="K39" s="19">
        <v>0</v>
      </c>
      <c r="L39" s="19">
        <v>0</v>
      </c>
      <c r="M39" s="19">
        <f t="shared" si="5"/>
        <v>0</v>
      </c>
      <c r="N39" s="14"/>
      <c r="O39" s="15"/>
      <c r="P39" s="16"/>
    </row>
    <row r="40" spans="1:16" x14ac:dyDescent="0.3">
      <c r="A40" s="13"/>
      <c r="B40" s="14"/>
      <c r="C40" s="15"/>
      <c r="D40" s="26"/>
      <c r="E40" s="16" t="s">
        <v>45</v>
      </c>
      <c r="F40" s="19">
        <v>0</v>
      </c>
      <c r="G40" s="26">
        <v>65</v>
      </c>
      <c r="H40" s="26">
        <f t="shared" si="4"/>
        <v>65</v>
      </c>
      <c r="I40" s="19">
        <v>0</v>
      </c>
      <c r="J40" s="19">
        <v>0</v>
      </c>
      <c r="K40" s="19">
        <v>0</v>
      </c>
      <c r="L40" s="19">
        <v>0</v>
      </c>
      <c r="M40" s="19">
        <f t="shared" si="5"/>
        <v>0</v>
      </c>
      <c r="N40" s="14"/>
      <c r="O40" s="15"/>
      <c r="P40" s="16"/>
    </row>
    <row r="41" spans="1:16" x14ac:dyDescent="0.3">
      <c r="A41" s="13"/>
      <c r="B41" s="14" t="s">
        <v>73</v>
      </c>
      <c r="C41" s="15" t="s">
        <v>22</v>
      </c>
      <c r="D41" s="26">
        <v>1146</v>
      </c>
      <c r="E41" s="30" t="s">
        <v>52</v>
      </c>
      <c r="F41" s="19">
        <v>0</v>
      </c>
      <c r="G41" s="26">
        <v>114</v>
      </c>
      <c r="H41" s="26">
        <f t="shared" si="4"/>
        <v>114</v>
      </c>
      <c r="I41" s="19">
        <v>0</v>
      </c>
      <c r="J41" s="19">
        <v>0</v>
      </c>
      <c r="K41" s="19">
        <v>0</v>
      </c>
      <c r="L41" s="19">
        <v>0</v>
      </c>
      <c r="M41" s="19">
        <f t="shared" si="5"/>
        <v>0</v>
      </c>
      <c r="N41" s="14"/>
      <c r="O41" s="15"/>
      <c r="P41" s="16"/>
    </row>
    <row r="42" spans="1:16" x14ac:dyDescent="0.3">
      <c r="A42" s="13"/>
      <c r="B42" s="14"/>
      <c r="C42" s="15"/>
      <c r="D42" s="26"/>
      <c r="E42" s="16" t="s">
        <v>45</v>
      </c>
      <c r="F42" s="19">
        <v>0</v>
      </c>
      <c r="G42" s="26">
        <v>55</v>
      </c>
      <c r="H42" s="26">
        <f t="shared" si="4"/>
        <v>55</v>
      </c>
      <c r="I42" s="19">
        <v>0</v>
      </c>
      <c r="J42" s="19">
        <v>0</v>
      </c>
      <c r="K42" s="19">
        <v>0</v>
      </c>
      <c r="L42" s="19">
        <v>0</v>
      </c>
      <c r="M42" s="19">
        <f t="shared" si="5"/>
        <v>0</v>
      </c>
      <c r="N42" s="14"/>
      <c r="O42" s="15"/>
      <c r="P42" s="16"/>
    </row>
    <row r="43" spans="1:16" x14ac:dyDescent="0.3">
      <c r="A43" s="13"/>
      <c r="B43" s="14" t="s">
        <v>74</v>
      </c>
      <c r="C43" s="15" t="s">
        <v>43</v>
      </c>
      <c r="D43" s="26">
        <v>1189</v>
      </c>
      <c r="E43" s="30" t="s">
        <v>52</v>
      </c>
      <c r="F43" s="19">
        <v>0</v>
      </c>
      <c r="G43" s="26">
        <v>115</v>
      </c>
      <c r="H43" s="26">
        <f t="shared" si="4"/>
        <v>115</v>
      </c>
      <c r="I43" s="19">
        <v>0</v>
      </c>
      <c r="J43" s="19">
        <v>0</v>
      </c>
      <c r="K43" s="19">
        <v>0</v>
      </c>
      <c r="L43" s="19">
        <v>0</v>
      </c>
      <c r="M43" s="19">
        <f t="shared" si="5"/>
        <v>0</v>
      </c>
      <c r="N43" s="14"/>
      <c r="O43" s="15"/>
      <c r="P43" s="16"/>
    </row>
    <row r="44" spans="1:16" x14ac:dyDescent="0.3">
      <c r="A44" s="13"/>
      <c r="B44" s="14" t="s">
        <v>75</v>
      </c>
      <c r="C44" s="15" t="s">
        <v>44</v>
      </c>
      <c r="D44" s="26">
        <v>1391</v>
      </c>
      <c r="E44" s="30" t="s">
        <v>52</v>
      </c>
      <c r="F44" s="19">
        <v>0</v>
      </c>
      <c r="G44" s="26">
        <v>136</v>
      </c>
      <c r="H44" s="26">
        <f t="shared" si="4"/>
        <v>136</v>
      </c>
      <c r="I44" s="19">
        <v>0</v>
      </c>
      <c r="J44" s="19">
        <v>0</v>
      </c>
      <c r="K44" s="19">
        <v>0</v>
      </c>
      <c r="L44" s="19">
        <v>0</v>
      </c>
      <c r="M44" s="19">
        <f t="shared" si="5"/>
        <v>0</v>
      </c>
      <c r="N44" s="14"/>
      <c r="O44" s="15"/>
      <c r="P44" s="16"/>
    </row>
    <row r="45" spans="1:16" x14ac:dyDescent="0.3">
      <c r="A45" s="13"/>
      <c r="B45" s="14"/>
      <c r="C45" s="15"/>
      <c r="D45" s="16"/>
      <c r="E45" s="16"/>
      <c r="F45" s="19"/>
      <c r="G45" s="19"/>
      <c r="H45" s="19"/>
      <c r="I45" s="19"/>
      <c r="J45" s="19"/>
      <c r="K45" s="19"/>
      <c r="L45" s="19"/>
      <c r="M45" s="19"/>
      <c r="N45" s="14"/>
      <c r="O45" s="15"/>
      <c r="P45" s="16"/>
    </row>
    <row r="46" spans="1:16" x14ac:dyDescent="0.3">
      <c r="A46" s="13">
        <v>4</v>
      </c>
      <c r="B46" s="14" t="s">
        <v>46</v>
      </c>
      <c r="C46" s="15"/>
      <c r="D46" s="26"/>
      <c r="E46" s="16"/>
      <c r="F46" s="19"/>
      <c r="G46" s="19"/>
      <c r="H46" s="19"/>
      <c r="I46" s="19"/>
      <c r="J46" s="19"/>
      <c r="K46" s="19"/>
      <c r="L46" s="19"/>
      <c r="M46" s="19"/>
      <c r="N46" s="14"/>
      <c r="O46" s="15"/>
      <c r="P46" s="16"/>
    </row>
    <row r="47" spans="1:16" x14ac:dyDescent="0.3">
      <c r="A47" s="13"/>
      <c r="B47" s="14" t="s">
        <v>57</v>
      </c>
      <c r="C47" s="15" t="s">
        <v>29</v>
      </c>
      <c r="D47" s="26">
        <v>175</v>
      </c>
      <c r="E47" s="16" t="s">
        <v>76</v>
      </c>
      <c r="F47" s="26">
        <v>15</v>
      </c>
      <c r="G47" s="19">
        <v>0</v>
      </c>
      <c r="H47" s="26">
        <f>SUM(F47:G47)</f>
        <v>15</v>
      </c>
      <c r="I47" s="19">
        <v>0</v>
      </c>
      <c r="J47" s="19">
        <v>0</v>
      </c>
      <c r="K47" s="19">
        <v>0</v>
      </c>
      <c r="L47" s="19">
        <v>0</v>
      </c>
      <c r="M47" s="19">
        <f>SUM(I47:L47)</f>
        <v>0</v>
      </c>
      <c r="N47" s="14"/>
      <c r="O47" s="15" t="s">
        <v>93</v>
      </c>
      <c r="P47" s="16"/>
    </row>
    <row r="48" spans="1:16" x14ac:dyDescent="0.3">
      <c r="A48" s="13"/>
      <c r="B48" s="14" t="s">
        <v>58</v>
      </c>
      <c r="C48" s="15" t="s">
        <v>33</v>
      </c>
      <c r="D48" s="26">
        <v>270</v>
      </c>
      <c r="E48" s="16" t="s">
        <v>53</v>
      </c>
      <c r="F48" s="26">
        <v>15</v>
      </c>
      <c r="G48" s="19">
        <v>0</v>
      </c>
      <c r="H48" s="26">
        <f t="shared" ref="H48:H52" si="6">SUM(F48:G48)</f>
        <v>15</v>
      </c>
      <c r="I48" s="19">
        <v>0</v>
      </c>
      <c r="J48" s="19">
        <v>0</v>
      </c>
      <c r="K48" s="19">
        <v>0</v>
      </c>
      <c r="L48" s="19">
        <v>0</v>
      </c>
      <c r="M48" s="19">
        <f t="shared" ref="M48:M52" si="7">SUM(I48:L48)</f>
        <v>0</v>
      </c>
      <c r="N48" s="14"/>
      <c r="O48" s="15" t="s">
        <v>94</v>
      </c>
      <c r="P48" s="16"/>
    </row>
    <row r="49" spans="1:16" x14ac:dyDescent="0.3">
      <c r="A49" s="13"/>
      <c r="B49" s="14" t="s">
        <v>59</v>
      </c>
      <c r="C49" s="15" t="s">
        <v>42</v>
      </c>
      <c r="D49" s="26">
        <v>798.93</v>
      </c>
      <c r="E49" s="16" t="s">
        <v>53</v>
      </c>
      <c r="F49" s="26">
        <v>75</v>
      </c>
      <c r="G49" s="19">
        <v>0</v>
      </c>
      <c r="H49" s="26">
        <f t="shared" si="6"/>
        <v>75</v>
      </c>
      <c r="I49" s="19">
        <v>0</v>
      </c>
      <c r="J49" s="19">
        <v>5</v>
      </c>
      <c r="K49" s="19">
        <v>0</v>
      </c>
      <c r="L49" s="19">
        <v>0</v>
      </c>
      <c r="M49" s="19">
        <f t="shared" si="7"/>
        <v>5</v>
      </c>
      <c r="N49" s="14"/>
      <c r="O49" s="15"/>
      <c r="P49" s="16"/>
    </row>
    <row r="50" spans="1:16" x14ac:dyDescent="0.3">
      <c r="A50" s="13"/>
      <c r="B50" s="14" t="s">
        <v>60</v>
      </c>
      <c r="C50" s="15" t="s">
        <v>21</v>
      </c>
      <c r="D50" s="26">
        <v>1086.55</v>
      </c>
      <c r="E50" s="16" t="s">
        <v>53</v>
      </c>
      <c r="F50" s="26">
        <v>100</v>
      </c>
      <c r="G50" s="19">
        <v>0</v>
      </c>
      <c r="H50" s="26">
        <f t="shared" si="6"/>
        <v>100</v>
      </c>
      <c r="I50" s="19">
        <v>0</v>
      </c>
      <c r="J50" s="19">
        <v>5</v>
      </c>
      <c r="K50" s="19">
        <v>0</v>
      </c>
      <c r="L50" s="19">
        <v>0</v>
      </c>
      <c r="M50" s="19">
        <f t="shared" si="7"/>
        <v>5</v>
      </c>
      <c r="N50" s="14"/>
      <c r="O50" s="15"/>
      <c r="P50" s="16"/>
    </row>
    <row r="51" spans="1:16" x14ac:dyDescent="0.3">
      <c r="A51" s="16"/>
      <c r="B51" s="14" t="s">
        <v>61</v>
      </c>
      <c r="C51" s="15" t="s">
        <v>22</v>
      </c>
      <c r="D51" s="26">
        <v>1084.55</v>
      </c>
      <c r="E51" s="16" t="s">
        <v>53</v>
      </c>
      <c r="F51" s="26">
        <v>103</v>
      </c>
      <c r="G51" s="19">
        <v>0</v>
      </c>
      <c r="H51" s="26">
        <f t="shared" si="6"/>
        <v>103</v>
      </c>
      <c r="I51" s="19">
        <v>0</v>
      </c>
      <c r="J51" s="19">
        <v>5</v>
      </c>
      <c r="K51" s="19">
        <v>0</v>
      </c>
      <c r="L51" s="19">
        <v>0</v>
      </c>
      <c r="M51" s="19">
        <f t="shared" si="7"/>
        <v>5</v>
      </c>
      <c r="N51" s="14"/>
      <c r="O51" s="15"/>
      <c r="P51" s="16"/>
    </row>
    <row r="52" spans="1:16" x14ac:dyDescent="0.3">
      <c r="A52" s="16"/>
      <c r="B52" s="14" t="s">
        <v>62</v>
      </c>
      <c r="C52" s="15" t="s">
        <v>43</v>
      </c>
      <c r="D52" s="26">
        <v>33</v>
      </c>
      <c r="E52" s="16" t="s">
        <v>53</v>
      </c>
      <c r="F52" s="26">
        <f t="shared" ref="F52" si="8">10/100*D52</f>
        <v>3.3000000000000003</v>
      </c>
      <c r="G52" s="19">
        <v>0</v>
      </c>
      <c r="H52" s="26">
        <f t="shared" si="6"/>
        <v>3.3000000000000003</v>
      </c>
      <c r="I52" s="19">
        <v>0</v>
      </c>
      <c r="J52" s="19">
        <v>0</v>
      </c>
      <c r="K52" s="19">
        <v>0</v>
      </c>
      <c r="L52" s="19">
        <v>0</v>
      </c>
      <c r="M52" s="19">
        <f t="shared" si="7"/>
        <v>0</v>
      </c>
      <c r="N52" s="14"/>
      <c r="O52" s="15"/>
      <c r="P52" s="16"/>
    </row>
    <row r="53" spans="1:16" ht="8.25" customHeight="1" x14ac:dyDescent="0.3">
      <c r="A53" s="6"/>
      <c r="B53" s="9"/>
      <c r="C53" s="11"/>
      <c r="D53" s="6"/>
      <c r="E53" s="6"/>
      <c r="F53" s="7"/>
      <c r="G53" s="7"/>
      <c r="H53" s="7"/>
      <c r="I53" s="7"/>
      <c r="J53" s="7"/>
      <c r="K53" s="7"/>
      <c r="L53" s="7"/>
      <c r="M53" s="7"/>
      <c r="N53" s="9"/>
      <c r="O53" s="11"/>
      <c r="P53" s="6"/>
    </row>
    <row r="54" spans="1:16" x14ac:dyDescent="0.3">
      <c r="F54" s="2"/>
      <c r="G54" s="2"/>
      <c r="H54" s="2"/>
      <c r="I54" s="2"/>
      <c r="J54" s="2"/>
      <c r="K54" s="2"/>
      <c r="L54" s="2"/>
      <c r="M54" s="2"/>
    </row>
  </sheetData>
  <mergeCells count="11">
    <mergeCell ref="A1:P1"/>
    <mergeCell ref="F6:H6"/>
    <mergeCell ref="I6:M6"/>
    <mergeCell ref="D6:D7"/>
    <mergeCell ref="E6:E7"/>
    <mergeCell ref="N6:O7"/>
    <mergeCell ref="P6:P7"/>
    <mergeCell ref="A6:A7"/>
    <mergeCell ref="B6:C6"/>
    <mergeCell ref="B7:C7"/>
    <mergeCell ref="O20:O21"/>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56"/>
  <sheetViews>
    <sheetView topLeftCell="A52" workbookViewId="0">
      <selection activeCell="A57" sqref="A57:XFD68"/>
    </sheetView>
  </sheetViews>
  <sheetFormatPr defaultColWidth="9.1796875" defaultRowHeight="14" x14ac:dyDescent="0.3"/>
  <cols>
    <col min="1" max="1" width="9.1796875" style="1"/>
    <col min="2" max="2" width="2.1796875" style="1" customWidth="1"/>
    <col min="3" max="3" width="18.81640625" style="1" bestFit="1" customWidth="1"/>
    <col min="4" max="4" width="13.54296875" style="1" customWidth="1"/>
    <col min="5" max="5" width="23.81640625" style="1" customWidth="1"/>
    <col min="6" max="6" width="7.54296875" style="1" bestFit="1" customWidth="1"/>
    <col min="7" max="7" width="8.81640625" style="1" customWidth="1"/>
    <col min="8" max="8" width="7.54296875" style="1" bestFit="1" customWidth="1"/>
    <col min="9" max="9" width="6.453125" style="1" bestFit="1" customWidth="1"/>
    <col min="10" max="10" width="6.81640625" style="1" bestFit="1" customWidth="1"/>
    <col min="11" max="11" width="10" style="1" bestFit="1" customWidth="1"/>
    <col min="12" max="12" width="5.54296875" style="1" bestFit="1" customWidth="1"/>
    <col min="13" max="13" width="6.81640625" style="1" bestFit="1" customWidth="1"/>
    <col min="14" max="14" width="2.1796875" style="1" customWidth="1"/>
    <col min="15" max="15" width="23.54296875" style="1" customWidth="1"/>
    <col min="16" max="16" width="13.7265625" style="1" customWidth="1"/>
    <col min="17" max="16384" width="9.1796875" style="1"/>
  </cols>
  <sheetData>
    <row r="1" spans="1:16" x14ac:dyDescent="0.3">
      <c r="A1" s="385" t="s">
        <v>0</v>
      </c>
      <c r="B1" s="385"/>
      <c r="C1" s="385"/>
      <c r="D1" s="385"/>
      <c r="E1" s="385"/>
      <c r="F1" s="385"/>
      <c r="G1" s="385"/>
      <c r="H1" s="385"/>
      <c r="I1" s="385"/>
      <c r="J1" s="385"/>
      <c r="K1" s="385"/>
      <c r="L1" s="385"/>
      <c r="M1" s="385"/>
      <c r="N1" s="385"/>
      <c r="O1" s="385"/>
      <c r="P1" s="385"/>
    </row>
    <row r="3" spans="1:16" x14ac:dyDescent="0.3">
      <c r="A3" s="1" t="s">
        <v>1</v>
      </c>
      <c r="B3" s="1" t="s">
        <v>78</v>
      </c>
      <c r="C3" s="1" t="s">
        <v>77</v>
      </c>
    </row>
    <row r="4" spans="1:16" x14ac:dyDescent="0.3">
      <c r="A4" s="1" t="s">
        <v>2</v>
      </c>
      <c r="B4" s="1" t="s">
        <v>78</v>
      </c>
      <c r="C4" s="4" t="s">
        <v>119</v>
      </c>
    </row>
    <row r="6" spans="1:16" x14ac:dyDescent="0.3">
      <c r="A6" s="386" t="s">
        <v>3</v>
      </c>
      <c r="B6" s="388" t="s">
        <v>4</v>
      </c>
      <c r="C6" s="388"/>
      <c r="D6" s="389" t="s">
        <v>6</v>
      </c>
      <c r="E6" s="391" t="s">
        <v>7</v>
      </c>
      <c r="F6" s="393" t="s">
        <v>8</v>
      </c>
      <c r="G6" s="393"/>
      <c r="H6" s="393"/>
      <c r="I6" s="393" t="s">
        <v>12</v>
      </c>
      <c r="J6" s="393"/>
      <c r="K6" s="393"/>
      <c r="L6" s="393"/>
      <c r="M6" s="393"/>
      <c r="N6" s="391" t="s">
        <v>17</v>
      </c>
      <c r="O6" s="391"/>
      <c r="P6" s="386" t="s">
        <v>18</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x14ac:dyDescent="0.3">
      <c r="A9" s="13">
        <v>1</v>
      </c>
      <c r="B9" s="14" t="s">
        <v>20</v>
      </c>
      <c r="C9" s="15"/>
      <c r="D9" s="16"/>
      <c r="E9" s="16"/>
      <c r="F9" s="16"/>
      <c r="G9" s="16"/>
      <c r="H9" s="16"/>
      <c r="I9" s="16"/>
      <c r="J9" s="16"/>
      <c r="K9" s="16"/>
      <c r="L9" s="16"/>
      <c r="M9" s="16"/>
      <c r="N9" s="14"/>
      <c r="O9" s="15"/>
      <c r="P9" s="16"/>
    </row>
    <row r="10" spans="1:16" x14ac:dyDescent="0.3">
      <c r="A10" s="13"/>
      <c r="B10" s="17" t="s">
        <v>57</v>
      </c>
      <c r="C10" s="15" t="s">
        <v>21</v>
      </c>
      <c r="D10" s="18">
        <v>403.56</v>
      </c>
      <c r="E10" s="16" t="s">
        <v>36</v>
      </c>
      <c r="F10" s="19">
        <v>0</v>
      </c>
      <c r="G10" s="19">
        <v>43</v>
      </c>
      <c r="H10" s="19">
        <f>SUM(F10:G10)</f>
        <v>43</v>
      </c>
      <c r="I10" s="19">
        <v>0</v>
      </c>
      <c r="J10" s="19">
        <v>5</v>
      </c>
      <c r="K10" s="19">
        <v>0</v>
      </c>
      <c r="L10" s="19">
        <v>10</v>
      </c>
      <c r="M10" s="20">
        <f>SUM(I10:L10)</f>
        <v>15</v>
      </c>
      <c r="N10" s="17" t="s">
        <v>51</v>
      </c>
      <c r="O10" s="15" t="s">
        <v>47</v>
      </c>
      <c r="P10" s="16"/>
    </row>
    <row r="11" spans="1:16" x14ac:dyDescent="0.3">
      <c r="A11" s="13"/>
      <c r="B11" s="14"/>
      <c r="C11" s="15"/>
      <c r="D11" s="18"/>
      <c r="E11" s="16" t="s">
        <v>37</v>
      </c>
      <c r="F11" s="19">
        <v>0</v>
      </c>
      <c r="G11" s="19">
        <v>300</v>
      </c>
      <c r="H11" s="19">
        <f t="shared" ref="H11:H13" si="0">SUM(F11:G11)</f>
        <v>300</v>
      </c>
      <c r="I11" s="19">
        <v>0</v>
      </c>
      <c r="J11" s="19">
        <v>0</v>
      </c>
      <c r="K11" s="19">
        <v>0</v>
      </c>
      <c r="L11" s="19">
        <v>0</v>
      </c>
      <c r="M11" s="20">
        <f t="shared" ref="M11:M13" si="1">SUM(I11:L11)</f>
        <v>0</v>
      </c>
      <c r="N11" s="17" t="s">
        <v>51</v>
      </c>
      <c r="O11" s="25" t="s">
        <v>50</v>
      </c>
      <c r="P11" s="16"/>
    </row>
    <row r="12" spans="1:16" x14ac:dyDescent="0.3">
      <c r="A12" s="13"/>
      <c r="B12" s="14"/>
      <c r="C12" s="15"/>
      <c r="D12" s="18"/>
      <c r="E12" s="16" t="s">
        <v>38</v>
      </c>
      <c r="F12" s="19">
        <v>0</v>
      </c>
      <c r="G12" s="19">
        <v>250</v>
      </c>
      <c r="H12" s="19">
        <f t="shared" si="0"/>
        <v>250</v>
      </c>
      <c r="I12" s="19">
        <v>0</v>
      </c>
      <c r="J12" s="19">
        <v>5</v>
      </c>
      <c r="K12" s="19">
        <v>0</v>
      </c>
      <c r="L12" s="19">
        <v>0</v>
      </c>
      <c r="M12" s="20">
        <f t="shared" si="1"/>
        <v>5</v>
      </c>
      <c r="N12" s="17" t="s">
        <v>51</v>
      </c>
      <c r="O12" s="15" t="s">
        <v>49</v>
      </c>
      <c r="P12" s="16"/>
    </row>
    <row r="13" spans="1:16" ht="28" x14ac:dyDescent="0.3">
      <c r="A13" s="13"/>
      <c r="B13" s="14"/>
      <c r="C13" s="15"/>
      <c r="D13" s="18"/>
      <c r="E13" s="21" t="s">
        <v>39</v>
      </c>
      <c r="F13" s="22">
        <v>50</v>
      </c>
      <c r="G13" s="22">
        <v>0</v>
      </c>
      <c r="H13" s="22">
        <f t="shared" si="0"/>
        <v>50</v>
      </c>
      <c r="I13" s="22">
        <v>0</v>
      </c>
      <c r="J13" s="22">
        <v>0</v>
      </c>
      <c r="K13" s="22">
        <v>0</v>
      </c>
      <c r="L13" s="22">
        <v>0</v>
      </c>
      <c r="M13" s="23">
        <f t="shared" si="1"/>
        <v>0</v>
      </c>
      <c r="N13" s="24" t="s">
        <v>51</v>
      </c>
      <c r="O13" s="31" t="s">
        <v>48</v>
      </c>
      <c r="P13" s="16"/>
    </row>
    <row r="14" spans="1:16" x14ac:dyDescent="0.3">
      <c r="A14" s="13"/>
      <c r="B14" s="14"/>
      <c r="C14" s="15"/>
      <c r="D14" s="26"/>
      <c r="E14" s="16"/>
      <c r="F14" s="16"/>
      <c r="G14" s="16"/>
      <c r="H14" s="16"/>
      <c r="I14" s="16"/>
      <c r="J14" s="16"/>
      <c r="K14" s="16"/>
      <c r="L14" s="16"/>
      <c r="M14" s="16"/>
      <c r="N14" s="14"/>
      <c r="O14" s="15"/>
      <c r="P14" s="16"/>
    </row>
    <row r="15" spans="1:16" x14ac:dyDescent="0.3">
      <c r="A15" s="13">
        <v>2</v>
      </c>
      <c r="B15" s="14" t="s">
        <v>23</v>
      </c>
      <c r="C15" s="15"/>
      <c r="D15" s="26"/>
      <c r="E15" s="16"/>
      <c r="F15" s="16"/>
      <c r="G15" s="16"/>
      <c r="H15" s="16"/>
      <c r="I15" s="16"/>
      <c r="J15" s="16"/>
      <c r="K15" s="16"/>
      <c r="L15" s="16"/>
      <c r="M15" s="16"/>
      <c r="N15" s="14"/>
      <c r="O15" s="15"/>
      <c r="P15" s="16"/>
    </row>
    <row r="16" spans="1:16" x14ac:dyDescent="0.3">
      <c r="A16" s="13"/>
      <c r="B16" s="14" t="s">
        <v>57</v>
      </c>
      <c r="C16" s="15" t="s">
        <v>22</v>
      </c>
      <c r="D16" s="26">
        <v>198</v>
      </c>
      <c r="E16" s="16" t="s">
        <v>40</v>
      </c>
      <c r="F16" s="19">
        <v>0</v>
      </c>
      <c r="G16" s="19">
        <v>140</v>
      </c>
      <c r="H16" s="19">
        <f t="shared" ref="H16:H17" si="2">SUM(F16:G16)</f>
        <v>140</v>
      </c>
      <c r="I16" s="19">
        <v>0</v>
      </c>
      <c r="J16" s="19">
        <v>10</v>
      </c>
      <c r="K16" s="19">
        <v>0</v>
      </c>
      <c r="L16" s="19">
        <v>0</v>
      </c>
      <c r="M16" s="20">
        <f t="shared" ref="M16:M17" si="3">SUM(I16:L16)</f>
        <v>10</v>
      </c>
      <c r="N16" s="17" t="s">
        <v>51</v>
      </c>
      <c r="O16" s="396" t="s">
        <v>54</v>
      </c>
      <c r="P16" s="16"/>
    </row>
    <row r="17" spans="1:16" x14ac:dyDescent="0.3">
      <c r="A17" s="13"/>
      <c r="B17" s="14"/>
      <c r="C17" s="15"/>
      <c r="D17" s="26"/>
      <c r="E17" s="16"/>
      <c r="F17" s="19"/>
      <c r="G17" s="19">
        <v>0</v>
      </c>
      <c r="H17" s="19">
        <f t="shared" si="2"/>
        <v>0</v>
      </c>
      <c r="I17" s="19">
        <v>0</v>
      </c>
      <c r="J17" s="19">
        <v>0</v>
      </c>
      <c r="K17" s="19">
        <v>0</v>
      </c>
      <c r="L17" s="19">
        <v>0</v>
      </c>
      <c r="M17" s="20">
        <f t="shared" si="3"/>
        <v>0</v>
      </c>
      <c r="N17" s="14"/>
      <c r="O17" s="397"/>
      <c r="P17" s="16"/>
    </row>
    <row r="18" spans="1:16" x14ac:dyDescent="0.3">
      <c r="A18" s="13"/>
      <c r="B18" s="14"/>
      <c r="C18" s="15"/>
      <c r="D18" s="26"/>
      <c r="E18" s="16"/>
      <c r="F18" s="19"/>
      <c r="G18" s="19"/>
      <c r="H18" s="19"/>
      <c r="I18" s="19"/>
      <c r="J18" s="19"/>
      <c r="K18" s="19"/>
      <c r="L18" s="19"/>
      <c r="M18" s="19"/>
      <c r="N18" s="14"/>
      <c r="O18" s="15"/>
      <c r="P18" s="16"/>
    </row>
    <row r="19" spans="1:16" x14ac:dyDescent="0.3">
      <c r="A19" s="13">
        <v>3</v>
      </c>
      <c r="B19" s="14" t="s">
        <v>19</v>
      </c>
      <c r="C19" s="15"/>
      <c r="D19" s="26"/>
      <c r="E19" s="16"/>
      <c r="F19" s="19"/>
      <c r="G19" s="19"/>
      <c r="H19" s="19"/>
      <c r="I19" s="19"/>
      <c r="J19" s="19"/>
      <c r="K19" s="19"/>
      <c r="L19" s="19"/>
      <c r="M19" s="19"/>
      <c r="N19" s="14"/>
      <c r="O19" s="15"/>
      <c r="P19" s="16"/>
    </row>
    <row r="20" spans="1:16" x14ac:dyDescent="0.3">
      <c r="A20" s="13"/>
      <c r="B20" s="14" t="s">
        <v>57</v>
      </c>
      <c r="C20" s="15" t="s">
        <v>24</v>
      </c>
      <c r="D20" s="26">
        <v>1372.2</v>
      </c>
      <c r="E20" s="30" t="s">
        <v>52</v>
      </c>
      <c r="F20" s="19">
        <v>0</v>
      </c>
      <c r="G20" s="26">
        <f>9%*D20</f>
        <v>123.498</v>
      </c>
      <c r="H20" s="26">
        <f>SUM(F20:G20)</f>
        <v>123.498</v>
      </c>
      <c r="I20" s="19">
        <v>0</v>
      </c>
      <c r="J20" s="19">
        <v>0</v>
      </c>
      <c r="K20" s="19">
        <v>0</v>
      </c>
      <c r="L20" s="19">
        <v>0</v>
      </c>
      <c r="M20" s="19">
        <f>SUM(I20:L20)</f>
        <v>0</v>
      </c>
      <c r="N20" s="14"/>
      <c r="O20" s="15"/>
      <c r="P20" s="16"/>
    </row>
    <row r="21" spans="1:16" x14ac:dyDescent="0.3">
      <c r="A21" s="13"/>
      <c r="B21" s="14" t="s">
        <v>58</v>
      </c>
      <c r="C21" s="15" t="s">
        <v>25</v>
      </c>
      <c r="D21" s="26">
        <v>995.2</v>
      </c>
      <c r="E21" s="30" t="s">
        <v>52</v>
      </c>
      <c r="F21" s="19">
        <v>0</v>
      </c>
      <c r="G21" s="26">
        <f>7%*D21</f>
        <v>69.664000000000016</v>
      </c>
      <c r="H21" s="26">
        <f t="shared" ref="H21:H40" si="4">SUM(F21:G21)</f>
        <v>69.664000000000016</v>
      </c>
      <c r="I21" s="19">
        <v>0</v>
      </c>
      <c r="J21" s="19">
        <v>10</v>
      </c>
      <c r="K21" s="19">
        <v>0</v>
      </c>
      <c r="L21" s="19">
        <v>0</v>
      </c>
      <c r="M21" s="19">
        <f t="shared" ref="M21:M40" si="5">SUM(I21:L21)</f>
        <v>10</v>
      </c>
      <c r="N21" s="14"/>
      <c r="O21" s="15" t="s">
        <v>122</v>
      </c>
      <c r="P21" s="16"/>
    </row>
    <row r="22" spans="1:16" x14ac:dyDescent="0.3">
      <c r="A22" s="13"/>
      <c r="B22" s="14" t="s">
        <v>59</v>
      </c>
      <c r="C22" s="15" t="s">
        <v>26</v>
      </c>
      <c r="D22" s="26">
        <v>716.5</v>
      </c>
      <c r="E22" s="30" t="s">
        <v>52</v>
      </c>
      <c r="F22" s="19">
        <v>0</v>
      </c>
      <c r="G22" s="26">
        <v>72.650000000000006</v>
      </c>
      <c r="H22" s="26">
        <f t="shared" si="4"/>
        <v>72.650000000000006</v>
      </c>
      <c r="I22" s="19">
        <v>0</v>
      </c>
      <c r="J22" s="19">
        <v>0</v>
      </c>
      <c r="K22" s="19">
        <v>0</v>
      </c>
      <c r="L22" s="19">
        <v>0</v>
      </c>
      <c r="M22" s="19">
        <f t="shared" si="5"/>
        <v>0</v>
      </c>
      <c r="N22" s="14"/>
      <c r="O22" s="15"/>
      <c r="P22" s="16"/>
    </row>
    <row r="23" spans="1:16" x14ac:dyDescent="0.3">
      <c r="A23" s="13"/>
      <c r="B23" s="14" t="s">
        <v>60</v>
      </c>
      <c r="C23" s="15" t="s">
        <v>55</v>
      </c>
      <c r="D23" s="26">
        <v>955.3</v>
      </c>
      <c r="E23" s="30" t="s">
        <v>52</v>
      </c>
      <c r="F23" s="19">
        <v>0</v>
      </c>
      <c r="G23" s="26">
        <v>95</v>
      </c>
      <c r="H23" s="26">
        <f t="shared" si="4"/>
        <v>95</v>
      </c>
      <c r="I23" s="19">
        <v>0</v>
      </c>
      <c r="J23" s="19">
        <v>0</v>
      </c>
      <c r="K23" s="19">
        <v>0</v>
      </c>
      <c r="L23" s="19">
        <v>0</v>
      </c>
      <c r="M23" s="19">
        <f t="shared" si="5"/>
        <v>0</v>
      </c>
      <c r="N23" s="14"/>
      <c r="O23" s="15"/>
      <c r="P23" s="16"/>
    </row>
    <row r="24" spans="1:16" x14ac:dyDescent="0.3">
      <c r="A24" s="13"/>
      <c r="B24" s="14" t="s">
        <v>61</v>
      </c>
      <c r="C24" s="15" t="s">
        <v>27</v>
      </c>
      <c r="D24" s="26">
        <v>901.2</v>
      </c>
      <c r="E24" s="30" t="s">
        <v>52</v>
      </c>
      <c r="F24" s="19">
        <v>0</v>
      </c>
      <c r="G24" s="26">
        <v>90</v>
      </c>
      <c r="H24" s="26">
        <f t="shared" si="4"/>
        <v>90</v>
      </c>
      <c r="I24" s="19">
        <v>0</v>
      </c>
      <c r="J24" s="19">
        <v>0</v>
      </c>
      <c r="K24" s="19">
        <v>0</v>
      </c>
      <c r="L24" s="19">
        <v>0</v>
      </c>
      <c r="M24" s="19">
        <f t="shared" si="5"/>
        <v>0</v>
      </c>
      <c r="N24" s="14"/>
      <c r="O24" s="15"/>
      <c r="P24" s="16"/>
    </row>
    <row r="25" spans="1:16" x14ac:dyDescent="0.3">
      <c r="A25" s="13"/>
      <c r="B25" s="14" t="s">
        <v>62</v>
      </c>
      <c r="C25" s="15" t="s">
        <v>28</v>
      </c>
      <c r="D25" s="26">
        <v>871</v>
      </c>
      <c r="E25" s="30" t="s">
        <v>52</v>
      </c>
      <c r="F25" s="19">
        <v>0</v>
      </c>
      <c r="G25" s="26">
        <v>87</v>
      </c>
      <c r="H25" s="26">
        <f t="shared" si="4"/>
        <v>87</v>
      </c>
      <c r="I25" s="19">
        <v>0</v>
      </c>
      <c r="J25" s="19">
        <v>0</v>
      </c>
      <c r="K25" s="19">
        <v>0</v>
      </c>
      <c r="L25" s="19">
        <v>0</v>
      </c>
      <c r="M25" s="19">
        <f t="shared" si="5"/>
        <v>0</v>
      </c>
      <c r="N25" s="14"/>
      <c r="O25" s="15"/>
      <c r="P25" s="16"/>
    </row>
    <row r="26" spans="1:16" x14ac:dyDescent="0.3">
      <c r="A26" s="13"/>
      <c r="B26" s="14" t="s">
        <v>63</v>
      </c>
      <c r="C26" s="15" t="s">
        <v>29</v>
      </c>
      <c r="D26" s="26">
        <v>1516</v>
      </c>
      <c r="E26" s="30" t="s">
        <v>52</v>
      </c>
      <c r="F26" s="19">
        <v>0</v>
      </c>
      <c r="G26" s="26">
        <v>151.5</v>
      </c>
      <c r="H26" s="26">
        <f t="shared" si="4"/>
        <v>151.5</v>
      </c>
      <c r="I26" s="19">
        <v>0</v>
      </c>
      <c r="J26" s="19">
        <v>0</v>
      </c>
      <c r="K26" s="19">
        <v>0</v>
      </c>
      <c r="L26" s="19">
        <v>0</v>
      </c>
      <c r="M26" s="19">
        <f t="shared" si="5"/>
        <v>0</v>
      </c>
      <c r="N26" s="14"/>
      <c r="O26" s="15"/>
      <c r="P26" s="16"/>
    </row>
    <row r="27" spans="1:16" x14ac:dyDescent="0.3">
      <c r="A27" s="13"/>
      <c r="B27" s="14" t="s">
        <v>64</v>
      </c>
      <c r="C27" s="15" t="s">
        <v>56</v>
      </c>
      <c r="D27" s="26">
        <v>97.2</v>
      </c>
      <c r="E27" s="30" t="s">
        <v>52</v>
      </c>
      <c r="F27" s="19">
        <v>0</v>
      </c>
      <c r="G27" s="26">
        <v>9.5</v>
      </c>
      <c r="H27" s="26">
        <f t="shared" si="4"/>
        <v>9.5</v>
      </c>
      <c r="I27" s="19">
        <v>0</v>
      </c>
      <c r="J27" s="19">
        <v>0</v>
      </c>
      <c r="K27" s="19">
        <v>0</v>
      </c>
      <c r="L27" s="19">
        <v>0</v>
      </c>
      <c r="M27" s="19">
        <f t="shared" si="5"/>
        <v>0</v>
      </c>
      <c r="N27" s="14"/>
      <c r="O27" s="15"/>
      <c r="P27" s="16"/>
    </row>
    <row r="28" spans="1:16" x14ac:dyDescent="0.3">
      <c r="A28" s="13"/>
      <c r="B28" s="14" t="s">
        <v>65</v>
      </c>
      <c r="C28" s="15" t="s">
        <v>30</v>
      </c>
      <c r="D28" s="26">
        <v>1502.3</v>
      </c>
      <c r="E28" s="30" t="s">
        <v>52</v>
      </c>
      <c r="F28" s="19">
        <v>0</v>
      </c>
      <c r="G28" s="26">
        <v>150</v>
      </c>
      <c r="H28" s="26">
        <f t="shared" si="4"/>
        <v>150</v>
      </c>
      <c r="I28" s="19">
        <v>0</v>
      </c>
      <c r="J28" s="19">
        <v>0</v>
      </c>
      <c r="K28" s="19">
        <v>0</v>
      </c>
      <c r="L28" s="19">
        <v>0</v>
      </c>
      <c r="M28" s="19">
        <f t="shared" si="5"/>
        <v>0</v>
      </c>
      <c r="N28" s="14"/>
      <c r="O28" s="15"/>
      <c r="P28" s="16"/>
    </row>
    <row r="29" spans="1:16" x14ac:dyDescent="0.3">
      <c r="A29" s="13"/>
      <c r="B29" s="14" t="s">
        <v>66</v>
      </c>
      <c r="C29" s="15" t="s">
        <v>31</v>
      </c>
      <c r="D29" s="26">
        <v>1518</v>
      </c>
      <c r="E29" s="30" t="s">
        <v>52</v>
      </c>
      <c r="F29" s="19">
        <v>0</v>
      </c>
      <c r="G29" s="26">
        <v>151</v>
      </c>
      <c r="H29" s="26">
        <f t="shared" si="4"/>
        <v>151</v>
      </c>
      <c r="I29" s="19">
        <v>0</v>
      </c>
      <c r="J29" s="19">
        <v>0</v>
      </c>
      <c r="K29" s="19">
        <v>0</v>
      </c>
      <c r="L29" s="19">
        <v>0</v>
      </c>
      <c r="M29" s="19">
        <f t="shared" si="5"/>
        <v>0</v>
      </c>
      <c r="N29" s="14"/>
      <c r="O29" s="15"/>
      <c r="P29" s="16"/>
    </row>
    <row r="30" spans="1:16" x14ac:dyDescent="0.3">
      <c r="A30" s="13"/>
      <c r="B30" s="14" t="s">
        <v>67</v>
      </c>
      <c r="C30" s="15" t="s">
        <v>32</v>
      </c>
      <c r="D30" s="26">
        <v>997.4</v>
      </c>
      <c r="E30" s="30" t="s">
        <v>52</v>
      </c>
      <c r="F30" s="19">
        <v>0</v>
      </c>
      <c r="G30" s="26">
        <v>99.5</v>
      </c>
      <c r="H30" s="26">
        <f t="shared" si="4"/>
        <v>99.5</v>
      </c>
      <c r="I30" s="19">
        <v>0</v>
      </c>
      <c r="J30" s="19">
        <v>0</v>
      </c>
      <c r="K30" s="19">
        <v>0</v>
      </c>
      <c r="L30" s="19">
        <v>0</v>
      </c>
      <c r="M30" s="19">
        <f t="shared" si="5"/>
        <v>0</v>
      </c>
      <c r="N30" s="14"/>
      <c r="O30" s="15"/>
      <c r="P30" s="16"/>
    </row>
    <row r="31" spans="1:16" x14ac:dyDescent="0.3">
      <c r="A31" s="13"/>
      <c r="B31" s="14" t="s">
        <v>68</v>
      </c>
      <c r="C31" s="15" t="s">
        <v>33</v>
      </c>
      <c r="D31" s="26">
        <v>1304</v>
      </c>
      <c r="E31" s="30" t="s">
        <v>52</v>
      </c>
      <c r="F31" s="19">
        <v>0</v>
      </c>
      <c r="G31" s="26">
        <v>129</v>
      </c>
      <c r="H31" s="26">
        <f t="shared" si="4"/>
        <v>129</v>
      </c>
      <c r="I31" s="19">
        <v>0</v>
      </c>
      <c r="J31" s="19">
        <v>0</v>
      </c>
      <c r="K31" s="19">
        <v>0</v>
      </c>
      <c r="L31" s="19">
        <v>0</v>
      </c>
      <c r="M31" s="19">
        <f t="shared" si="5"/>
        <v>0</v>
      </c>
      <c r="N31" s="14"/>
      <c r="O31" s="15"/>
      <c r="P31" s="16"/>
    </row>
    <row r="32" spans="1:16" x14ac:dyDescent="0.3">
      <c r="A32" s="13"/>
      <c r="B32" s="14" t="s">
        <v>69</v>
      </c>
      <c r="C32" s="15" t="s">
        <v>34</v>
      </c>
      <c r="D32" s="26">
        <v>1704</v>
      </c>
      <c r="E32" s="30" t="s">
        <v>52</v>
      </c>
      <c r="F32" s="19">
        <v>0</v>
      </c>
      <c r="G32" s="26">
        <v>170</v>
      </c>
      <c r="H32" s="26">
        <f t="shared" si="4"/>
        <v>170</v>
      </c>
      <c r="I32" s="19">
        <v>0</v>
      </c>
      <c r="J32" s="19">
        <v>0</v>
      </c>
      <c r="K32" s="19">
        <v>0</v>
      </c>
      <c r="L32" s="19">
        <v>0</v>
      </c>
      <c r="M32" s="19">
        <f t="shared" si="5"/>
        <v>0</v>
      </c>
      <c r="N32" s="14"/>
      <c r="O32" s="15"/>
      <c r="P32" s="16"/>
    </row>
    <row r="33" spans="1:16" x14ac:dyDescent="0.3">
      <c r="A33" s="13"/>
      <c r="B33" s="14" t="s">
        <v>70</v>
      </c>
      <c r="C33" s="15" t="s">
        <v>35</v>
      </c>
      <c r="D33" s="26">
        <v>1557</v>
      </c>
      <c r="E33" s="30" t="s">
        <v>52</v>
      </c>
      <c r="F33" s="19">
        <v>0</v>
      </c>
      <c r="G33" s="26">
        <v>154</v>
      </c>
      <c r="H33" s="26">
        <f t="shared" si="4"/>
        <v>154</v>
      </c>
      <c r="I33" s="19">
        <v>0</v>
      </c>
      <c r="J33" s="19">
        <v>0</v>
      </c>
      <c r="K33" s="19">
        <v>0</v>
      </c>
      <c r="L33" s="19">
        <v>0</v>
      </c>
      <c r="M33" s="19">
        <f t="shared" si="5"/>
        <v>0</v>
      </c>
      <c r="N33" s="14"/>
      <c r="O33" s="15"/>
      <c r="P33" s="16"/>
    </row>
    <row r="34" spans="1:16" x14ac:dyDescent="0.3">
      <c r="A34" s="13"/>
      <c r="B34" s="14" t="s">
        <v>71</v>
      </c>
      <c r="C34" s="15" t="s">
        <v>21</v>
      </c>
      <c r="D34" s="26">
        <v>1669</v>
      </c>
      <c r="E34" s="30" t="s">
        <v>52</v>
      </c>
      <c r="F34" s="19">
        <v>0</v>
      </c>
      <c r="G34" s="26">
        <v>165</v>
      </c>
      <c r="H34" s="26">
        <f t="shared" si="4"/>
        <v>165</v>
      </c>
      <c r="I34" s="19">
        <v>0</v>
      </c>
      <c r="J34" s="19">
        <v>0</v>
      </c>
      <c r="K34" s="19">
        <v>0</v>
      </c>
      <c r="L34" s="19">
        <v>0</v>
      </c>
      <c r="M34" s="19">
        <f t="shared" si="5"/>
        <v>0</v>
      </c>
      <c r="N34" s="14"/>
      <c r="O34" s="15"/>
      <c r="P34" s="16"/>
    </row>
    <row r="35" spans="1:16" x14ac:dyDescent="0.3">
      <c r="A35" s="13"/>
      <c r="B35" s="14" t="s">
        <v>72</v>
      </c>
      <c r="C35" s="15" t="s">
        <v>42</v>
      </c>
      <c r="D35" s="26">
        <v>773</v>
      </c>
      <c r="E35" s="30" t="s">
        <v>52</v>
      </c>
      <c r="F35" s="19">
        <v>0</v>
      </c>
      <c r="G35" s="26">
        <v>75</v>
      </c>
      <c r="H35" s="26">
        <f t="shared" si="4"/>
        <v>75</v>
      </c>
      <c r="I35" s="19">
        <v>0</v>
      </c>
      <c r="J35" s="19">
        <v>0</v>
      </c>
      <c r="K35" s="19">
        <v>0</v>
      </c>
      <c r="L35" s="19">
        <v>0</v>
      </c>
      <c r="M35" s="19">
        <f t="shared" si="5"/>
        <v>0</v>
      </c>
      <c r="N35" s="14"/>
      <c r="O35" s="15"/>
      <c r="P35" s="16"/>
    </row>
    <row r="36" spans="1:16" x14ac:dyDescent="0.3">
      <c r="A36" s="13"/>
      <c r="B36" s="14"/>
      <c r="C36" s="15"/>
      <c r="D36" s="26"/>
      <c r="E36" s="16" t="s">
        <v>45</v>
      </c>
      <c r="F36" s="19">
        <v>0</v>
      </c>
      <c r="G36" s="26">
        <v>65</v>
      </c>
      <c r="H36" s="26">
        <f t="shared" si="4"/>
        <v>65</v>
      </c>
      <c r="I36" s="19">
        <v>0</v>
      </c>
      <c r="J36" s="19">
        <v>0</v>
      </c>
      <c r="K36" s="19">
        <v>0</v>
      </c>
      <c r="L36" s="19">
        <v>0</v>
      </c>
      <c r="M36" s="19">
        <f t="shared" si="5"/>
        <v>0</v>
      </c>
      <c r="N36" s="14"/>
      <c r="O36" s="15"/>
      <c r="P36" s="16"/>
    </row>
    <row r="37" spans="1:16" x14ac:dyDescent="0.3">
      <c r="A37" s="13"/>
      <c r="B37" s="14" t="s">
        <v>73</v>
      </c>
      <c r="C37" s="15" t="s">
        <v>22</v>
      </c>
      <c r="D37" s="26">
        <v>1146</v>
      </c>
      <c r="E37" s="30" t="s">
        <v>52</v>
      </c>
      <c r="F37" s="19">
        <v>0</v>
      </c>
      <c r="G37" s="26">
        <f>8%*D37</f>
        <v>91.68</v>
      </c>
      <c r="H37" s="26">
        <f t="shared" si="4"/>
        <v>91.68</v>
      </c>
      <c r="I37" s="19">
        <v>0</v>
      </c>
      <c r="J37" s="19">
        <v>10</v>
      </c>
      <c r="K37" s="19">
        <v>0</v>
      </c>
      <c r="L37" s="19">
        <v>0</v>
      </c>
      <c r="M37" s="19">
        <f t="shared" si="5"/>
        <v>10</v>
      </c>
      <c r="N37" s="14"/>
      <c r="O37" s="15" t="s">
        <v>122</v>
      </c>
      <c r="P37" s="16"/>
    </row>
    <row r="38" spans="1:16" x14ac:dyDescent="0.3">
      <c r="A38" s="13"/>
      <c r="B38" s="14"/>
      <c r="C38" s="15"/>
      <c r="D38" s="26"/>
      <c r="E38" s="16" t="s">
        <v>45</v>
      </c>
      <c r="F38" s="19">
        <v>0</v>
      </c>
      <c r="G38" s="26">
        <v>55</v>
      </c>
      <c r="H38" s="26">
        <f t="shared" si="4"/>
        <v>55</v>
      </c>
      <c r="I38" s="19">
        <v>0</v>
      </c>
      <c r="J38" s="19">
        <v>0</v>
      </c>
      <c r="K38" s="19">
        <v>0</v>
      </c>
      <c r="L38" s="19">
        <v>0</v>
      </c>
      <c r="M38" s="19">
        <f t="shared" si="5"/>
        <v>0</v>
      </c>
      <c r="N38" s="14"/>
      <c r="O38" s="15"/>
      <c r="P38" s="16"/>
    </row>
    <row r="39" spans="1:16" x14ac:dyDescent="0.3">
      <c r="A39" s="13"/>
      <c r="B39" s="14" t="s">
        <v>74</v>
      </c>
      <c r="C39" s="15" t="s">
        <v>43</v>
      </c>
      <c r="D39" s="26">
        <v>1189</v>
      </c>
      <c r="E39" s="30" t="s">
        <v>52</v>
      </c>
      <c r="F39" s="19">
        <v>0</v>
      </c>
      <c r="G39" s="26">
        <v>115</v>
      </c>
      <c r="H39" s="26">
        <f t="shared" si="4"/>
        <v>115</v>
      </c>
      <c r="I39" s="19">
        <v>0</v>
      </c>
      <c r="J39" s="19">
        <v>0</v>
      </c>
      <c r="K39" s="19">
        <v>0</v>
      </c>
      <c r="L39" s="19">
        <v>0</v>
      </c>
      <c r="M39" s="19">
        <f t="shared" si="5"/>
        <v>0</v>
      </c>
      <c r="N39" s="14"/>
      <c r="O39" s="15"/>
      <c r="P39" s="16"/>
    </row>
    <row r="40" spans="1:16" x14ac:dyDescent="0.3">
      <c r="A40" s="13"/>
      <c r="B40" s="14" t="s">
        <v>75</v>
      </c>
      <c r="C40" s="15" t="s">
        <v>44</v>
      </c>
      <c r="D40" s="26">
        <v>1391</v>
      </c>
      <c r="E40" s="30" t="s">
        <v>52</v>
      </c>
      <c r="F40" s="19">
        <v>0</v>
      </c>
      <c r="G40" s="26">
        <v>136</v>
      </c>
      <c r="H40" s="26">
        <f t="shared" si="4"/>
        <v>136</v>
      </c>
      <c r="I40" s="19">
        <v>0</v>
      </c>
      <c r="J40" s="19">
        <v>0</v>
      </c>
      <c r="K40" s="19">
        <v>0</v>
      </c>
      <c r="L40" s="19">
        <v>0</v>
      </c>
      <c r="M40" s="19">
        <f t="shared" si="5"/>
        <v>0</v>
      </c>
      <c r="N40" s="14"/>
      <c r="O40" s="15"/>
      <c r="P40" s="16"/>
    </row>
    <row r="41" spans="1:16" x14ac:dyDescent="0.3">
      <c r="A41" s="13"/>
      <c r="B41" s="14"/>
      <c r="C41" s="15"/>
      <c r="D41" s="16"/>
      <c r="E41" s="16"/>
      <c r="F41" s="19"/>
      <c r="G41" s="19"/>
      <c r="H41" s="19"/>
      <c r="I41" s="19"/>
      <c r="J41" s="19"/>
      <c r="K41" s="19"/>
      <c r="L41" s="19"/>
      <c r="M41" s="19"/>
      <c r="N41" s="14"/>
      <c r="O41" s="15"/>
      <c r="P41" s="16"/>
    </row>
    <row r="42" spans="1:16" x14ac:dyDescent="0.3">
      <c r="A42" s="13">
        <v>4</v>
      </c>
      <c r="B42" s="14" t="s">
        <v>46</v>
      </c>
      <c r="C42" s="15"/>
      <c r="D42" s="26"/>
      <c r="E42" s="16"/>
      <c r="F42" s="19"/>
      <c r="G42" s="19"/>
      <c r="H42" s="19"/>
      <c r="I42" s="19"/>
      <c r="J42" s="19"/>
      <c r="K42" s="19"/>
      <c r="L42" s="19"/>
      <c r="M42" s="19"/>
      <c r="N42" s="14"/>
      <c r="O42" s="15"/>
      <c r="P42" s="16"/>
    </row>
    <row r="43" spans="1:16" x14ac:dyDescent="0.3">
      <c r="A43" s="13"/>
      <c r="B43" s="14" t="s">
        <v>57</v>
      </c>
      <c r="C43" s="15" t="s">
        <v>29</v>
      </c>
      <c r="D43" s="26">
        <v>175</v>
      </c>
      <c r="E43" s="16" t="s">
        <v>76</v>
      </c>
      <c r="F43" s="26">
        <v>15</v>
      </c>
      <c r="G43" s="19">
        <v>0</v>
      </c>
      <c r="H43" s="26">
        <f>SUM(F43:G43)</f>
        <v>15</v>
      </c>
      <c r="I43" s="19">
        <v>0</v>
      </c>
      <c r="J43" s="19">
        <v>0</v>
      </c>
      <c r="K43" s="19">
        <v>0</v>
      </c>
      <c r="L43" s="19">
        <v>0</v>
      </c>
      <c r="M43" s="19">
        <f>SUM(I43:L43)</f>
        <v>0</v>
      </c>
      <c r="N43" s="14"/>
      <c r="O43" s="15" t="s">
        <v>93</v>
      </c>
      <c r="P43" s="16"/>
    </row>
    <row r="44" spans="1:16" x14ac:dyDescent="0.3">
      <c r="A44" s="13"/>
      <c r="B44" s="14" t="s">
        <v>58</v>
      </c>
      <c r="C44" s="15" t="s">
        <v>33</v>
      </c>
      <c r="D44" s="26">
        <v>270</v>
      </c>
      <c r="E44" s="16" t="s">
        <v>53</v>
      </c>
      <c r="F44" s="26">
        <v>15</v>
      </c>
      <c r="G44" s="19">
        <v>0</v>
      </c>
      <c r="H44" s="26">
        <f t="shared" ref="H44:H48" si="6">SUM(F44:G44)</f>
        <v>15</v>
      </c>
      <c r="I44" s="19">
        <v>0</v>
      </c>
      <c r="J44" s="19">
        <v>0</v>
      </c>
      <c r="K44" s="19">
        <v>0</v>
      </c>
      <c r="L44" s="19">
        <v>0</v>
      </c>
      <c r="M44" s="19">
        <f t="shared" ref="M44:M48" si="7">SUM(I44:L44)</f>
        <v>0</v>
      </c>
      <c r="N44" s="14"/>
      <c r="O44" s="15"/>
      <c r="P44" s="16"/>
    </row>
    <row r="45" spans="1:16" x14ac:dyDescent="0.3">
      <c r="A45" s="13"/>
      <c r="B45" s="14" t="s">
        <v>59</v>
      </c>
      <c r="C45" s="15" t="s">
        <v>42</v>
      </c>
      <c r="D45" s="26">
        <v>798.93</v>
      </c>
      <c r="E45" s="16"/>
      <c r="F45" s="26">
        <v>75</v>
      </c>
      <c r="G45" s="19">
        <v>0</v>
      </c>
      <c r="H45" s="26">
        <f t="shared" si="6"/>
        <v>75</v>
      </c>
      <c r="I45" s="19">
        <v>0</v>
      </c>
      <c r="J45" s="19">
        <v>5</v>
      </c>
      <c r="K45" s="19">
        <v>0</v>
      </c>
      <c r="L45" s="19">
        <v>0</v>
      </c>
      <c r="M45" s="19">
        <f t="shared" si="7"/>
        <v>5</v>
      </c>
      <c r="N45" s="14"/>
      <c r="O45" s="15"/>
      <c r="P45" s="16"/>
    </row>
    <row r="46" spans="1:16" x14ac:dyDescent="0.3">
      <c r="A46" s="13"/>
      <c r="B46" s="14" t="s">
        <v>60</v>
      </c>
      <c r="C46" s="15" t="s">
        <v>21</v>
      </c>
      <c r="D46" s="26">
        <v>1086.55</v>
      </c>
      <c r="E46" s="16"/>
      <c r="F46" s="26">
        <v>100</v>
      </c>
      <c r="G46" s="19">
        <v>0</v>
      </c>
      <c r="H46" s="26">
        <f t="shared" si="6"/>
        <v>100</v>
      </c>
      <c r="I46" s="19">
        <v>0</v>
      </c>
      <c r="J46" s="19">
        <v>5</v>
      </c>
      <c r="K46" s="19">
        <v>0</v>
      </c>
      <c r="L46" s="19">
        <v>0</v>
      </c>
      <c r="M46" s="19">
        <f t="shared" si="7"/>
        <v>5</v>
      </c>
      <c r="N46" s="14"/>
      <c r="O46" s="15"/>
      <c r="P46" s="16"/>
    </row>
    <row r="47" spans="1:16" x14ac:dyDescent="0.3">
      <c r="A47" s="16"/>
      <c r="B47" s="14" t="s">
        <v>61</v>
      </c>
      <c r="C47" s="15" t="s">
        <v>22</v>
      </c>
      <c r="D47" s="26">
        <v>1084.55</v>
      </c>
      <c r="E47" s="16"/>
      <c r="F47" s="26">
        <v>103</v>
      </c>
      <c r="G47" s="19">
        <v>0</v>
      </c>
      <c r="H47" s="26">
        <f t="shared" si="6"/>
        <v>103</v>
      </c>
      <c r="I47" s="19">
        <v>0</v>
      </c>
      <c r="J47" s="19">
        <v>5</v>
      </c>
      <c r="K47" s="19">
        <v>0</v>
      </c>
      <c r="L47" s="19">
        <v>0</v>
      </c>
      <c r="M47" s="19">
        <f t="shared" si="7"/>
        <v>5</v>
      </c>
      <c r="N47" s="14"/>
      <c r="O47" s="15"/>
      <c r="P47" s="16"/>
    </row>
    <row r="48" spans="1:16" x14ac:dyDescent="0.3">
      <c r="A48" s="16"/>
      <c r="B48" s="14" t="s">
        <v>62</v>
      </c>
      <c r="C48" s="15" t="s">
        <v>43</v>
      </c>
      <c r="D48" s="26">
        <v>33</v>
      </c>
      <c r="E48" s="16"/>
      <c r="F48" s="26">
        <f t="shared" ref="F48" si="8">10/100*D48</f>
        <v>3.3000000000000003</v>
      </c>
      <c r="G48" s="19">
        <v>0</v>
      </c>
      <c r="H48" s="26">
        <f t="shared" si="6"/>
        <v>3.3000000000000003</v>
      </c>
      <c r="I48" s="19">
        <v>0</v>
      </c>
      <c r="J48" s="19">
        <v>0</v>
      </c>
      <c r="K48" s="19">
        <v>0</v>
      </c>
      <c r="L48" s="19">
        <v>0</v>
      </c>
      <c r="M48" s="19">
        <f t="shared" si="7"/>
        <v>0</v>
      </c>
      <c r="N48" s="14"/>
      <c r="O48" s="15"/>
      <c r="P48" s="16"/>
    </row>
    <row r="49" spans="1:16" x14ac:dyDescent="0.3">
      <c r="A49" s="16"/>
      <c r="B49" s="14"/>
      <c r="C49" s="15"/>
      <c r="D49" s="26"/>
      <c r="E49" s="16"/>
      <c r="F49" s="26"/>
      <c r="G49" s="19"/>
      <c r="H49" s="26"/>
      <c r="I49" s="19"/>
      <c r="J49" s="19"/>
      <c r="K49" s="19"/>
      <c r="L49" s="19"/>
      <c r="M49" s="19"/>
      <c r="N49" s="14"/>
      <c r="O49" s="15"/>
      <c r="P49" s="16"/>
    </row>
    <row r="50" spans="1:16" x14ac:dyDescent="0.3">
      <c r="A50" s="13">
        <v>5</v>
      </c>
      <c r="B50" s="14" t="s">
        <v>96</v>
      </c>
      <c r="C50" s="15"/>
      <c r="D50" s="26"/>
      <c r="E50" s="16"/>
      <c r="F50" s="26"/>
      <c r="G50" s="19"/>
      <c r="H50" s="26"/>
      <c r="I50" s="19"/>
      <c r="J50" s="19"/>
      <c r="K50" s="19"/>
      <c r="L50" s="19"/>
      <c r="M50" s="19"/>
      <c r="N50" s="14"/>
      <c r="O50" s="15"/>
      <c r="P50" s="16"/>
    </row>
    <row r="51" spans="1:16" x14ac:dyDescent="0.3">
      <c r="A51" s="16"/>
      <c r="B51" s="14" t="s">
        <v>57</v>
      </c>
      <c r="C51" s="15" t="s">
        <v>22</v>
      </c>
      <c r="D51" s="26">
        <v>9.5</v>
      </c>
      <c r="E51" s="16" t="s">
        <v>124</v>
      </c>
      <c r="F51" s="26">
        <f>5%*D51</f>
        <v>0.47500000000000003</v>
      </c>
      <c r="G51" s="19">
        <v>0</v>
      </c>
      <c r="H51" s="26">
        <f>SUM(F51:G51)</f>
        <v>0.47500000000000003</v>
      </c>
      <c r="I51" s="19">
        <v>0</v>
      </c>
      <c r="J51" s="19">
        <v>0</v>
      </c>
      <c r="K51" s="19">
        <v>0</v>
      </c>
      <c r="L51" s="19">
        <v>0</v>
      </c>
      <c r="M51" s="19">
        <f>SUM(I51:L51)</f>
        <v>0</v>
      </c>
      <c r="N51" s="14"/>
      <c r="O51" s="15"/>
      <c r="P51" s="16"/>
    </row>
    <row r="52" spans="1:16" x14ac:dyDescent="0.3">
      <c r="A52" s="16"/>
      <c r="B52" s="14" t="s">
        <v>58</v>
      </c>
      <c r="C52" s="15" t="s">
        <v>21</v>
      </c>
      <c r="D52" s="26">
        <v>17.11</v>
      </c>
      <c r="E52" s="16" t="s">
        <v>125</v>
      </c>
      <c r="F52" s="26">
        <f>11%*D52</f>
        <v>1.8820999999999999</v>
      </c>
      <c r="G52" s="19">
        <v>0</v>
      </c>
      <c r="H52" s="26">
        <f t="shared" ref="H52" si="9">SUM(F52:G52)</f>
        <v>1.8820999999999999</v>
      </c>
      <c r="I52" s="19">
        <v>0</v>
      </c>
      <c r="J52" s="19">
        <v>25</v>
      </c>
      <c r="K52" s="19">
        <v>0</v>
      </c>
      <c r="L52" s="19">
        <v>0</v>
      </c>
      <c r="M52" s="19">
        <f t="shared" ref="M52" si="10">SUM(I52:L52)</f>
        <v>25</v>
      </c>
      <c r="N52" s="14"/>
      <c r="O52" s="15" t="s">
        <v>123</v>
      </c>
      <c r="P52" s="16"/>
    </row>
    <row r="53" spans="1:16" x14ac:dyDescent="0.3">
      <c r="A53" s="16"/>
      <c r="B53" s="14"/>
      <c r="C53" s="15"/>
      <c r="D53" s="26"/>
      <c r="E53" s="16"/>
      <c r="F53" s="26"/>
      <c r="G53" s="19"/>
      <c r="H53" s="26"/>
      <c r="I53" s="19"/>
      <c r="J53" s="19"/>
      <c r="K53" s="19"/>
      <c r="L53" s="19"/>
      <c r="M53" s="19"/>
      <c r="N53" s="14"/>
      <c r="O53" s="15"/>
      <c r="P53" s="16"/>
    </row>
    <row r="54" spans="1:16" x14ac:dyDescent="0.3">
      <c r="A54" s="16"/>
      <c r="B54" s="14"/>
      <c r="C54" s="15"/>
      <c r="D54" s="26"/>
      <c r="E54" s="16"/>
      <c r="F54" s="26"/>
      <c r="G54" s="19"/>
      <c r="H54" s="26"/>
      <c r="I54" s="19"/>
      <c r="J54" s="19"/>
      <c r="K54" s="19"/>
      <c r="L54" s="19"/>
      <c r="M54" s="19"/>
      <c r="N54" s="14"/>
      <c r="O54" s="15"/>
      <c r="P54" s="16"/>
    </row>
    <row r="55" spans="1:16" ht="8.25" customHeight="1" x14ac:dyDescent="0.3">
      <c r="A55" s="6"/>
      <c r="B55" s="9"/>
      <c r="C55" s="11"/>
      <c r="D55" s="6"/>
      <c r="E55" s="6"/>
      <c r="F55" s="7"/>
      <c r="G55" s="7"/>
      <c r="H55" s="7"/>
      <c r="I55" s="7"/>
      <c r="J55" s="7"/>
      <c r="K55" s="7"/>
      <c r="L55" s="7"/>
      <c r="M55" s="7"/>
      <c r="N55" s="9"/>
      <c r="O55" s="11"/>
      <c r="P55" s="6"/>
    </row>
    <row r="56" spans="1:16" x14ac:dyDescent="0.3">
      <c r="F56" s="2"/>
      <c r="G56" s="2"/>
      <c r="H56" s="2"/>
      <c r="I56" s="2"/>
      <c r="J56" s="2"/>
      <c r="K56" s="2"/>
      <c r="L56" s="2"/>
      <c r="M56" s="2"/>
    </row>
  </sheetData>
  <mergeCells count="11">
    <mergeCell ref="A1:P1"/>
    <mergeCell ref="A6:A7"/>
    <mergeCell ref="B6:C6"/>
    <mergeCell ref="D6:D7"/>
    <mergeCell ref="E6:E7"/>
    <mergeCell ref="F6:H6"/>
    <mergeCell ref="I6:M6"/>
    <mergeCell ref="N6:O7"/>
    <mergeCell ref="P6:P7"/>
    <mergeCell ref="B7:C7"/>
    <mergeCell ref="O16:O17"/>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4"/>
  <sheetViews>
    <sheetView topLeftCell="A49" workbookViewId="0">
      <selection activeCell="A55" sqref="A55:XFD67"/>
    </sheetView>
  </sheetViews>
  <sheetFormatPr defaultColWidth="9.1796875" defaultRowHeight="14" x14ac:dyDescent="0.3"/>
  <cols>
    <col min="1" max="1" width="9.1796875" style="1"/>
    <col min="2" max="2" width="2.1796875" style="1" customWidth="1"/>
    <col min="3" max="3" width="18.81640625" style="1" bestFit="1" customWidth="1"/>
    <col min="4" max="4" width="13.54296875" style="1" customWidth="1"/>
    <col min="5" max="5" width="23.81640625" style="1" customWidth="1"/>
    <col min="6" max="6" width="7.54296875" style="1" bestFit="1" customWidth="1"/>
    <col min="7" max="7" width="8.81640625" style="1" customWidth="1"/>
    <col min="8" max="8" width="7.54296875" style="1" bestFit="1" customWidth="1"/>
    <col min="9" max="9" width="6.453125" style="1" bestFit="1" customWidth="1"/>
    <col min="10" max="10" width="6.81640625" style="1" bestFit="1" customWidth="1"/>
    <col min="11" max="11" width="10" style="1" bestFit="1" customWidth="1"/>
    <col min="12" max="12" width="5.54296875" style="1" bestFit="1" customWidth="1"/>
    <col min="13" max="13" width="6.81640625" style="1" bestFit="1" customWidth="1"/>
    <col min="14" max="14" width="2.1796875" style="1" customWidth="1"/>
    <col min="15" max="15" width="23.54296875" style="1" customWidth="1"/>
    <col min="16" max="16" width="13.7265625" style="1" customWidth="1"/>
    <col min="17" max="16384" width="9.1796875" style="1"/>
  </cols>
  <sheetData>
    <row r="1" spans="1:16" x14ac:dyDescent="0.3">
      <c r="A1" s="385" t="s">
        <v>0</v>
      </c>
      <c r="B1" s="385"/>
      <c r="C1" s="385"/>
      <c r="D1" s="385"/>
      <c r="E1" s="385"/>
      <c r="F1" s="385"/>
      <c r="G1" s="385"/>
      <c r="H1" s="385"/>
      <c r="I1" s="385"/>
      <c r="J1" s="385"/>
      <c r="K1" s="385"/>
      <c r="L1" s="385"/>
      <c r="M1" s="385"/>
      <c r="N1" s="385"/>
      <c r="O1" s="385"/>
      <c r="P1" s="385"/>
    </row>
    <row r="3" spans="1:16" x14ac:dyDescent="0.3">
      <c r="A3" s="1" t="s">
        <v>1</v>
      </c>
      <c r="B3" s="1" t="s">
        <v>78</v>
      </c>
      <c r="C3" s="1" t="s">
        <v>77</v>
      </c>
    </row>
    <row r="4" spans="1:16" x14ac:dyDescent="0.3">
      <c r="A4" s="1" t="s">
        <v>2</v>
      </c>
      <c r="B4" s="1" t="s">
        <v>78</v>
      </c>
      <c r="C4" s="4" t="s">
        <v>120</v>
      </c>
    </row>
    <row r="6" spans="1:16" x14ac:dyDescent="0.3">
      <c r="A6" s="386" t="s">
        <v>3</v>
      </c>
      <c r="B6" s="388" t="s">
        <v>4</v>
      </c>
      <c r="C6" s="388"/>
      <c r="D6" s="389" t="s">
        <v>6</v>
      </c>
      <c r="E6" s="391" t="s">
        <v>7</v>
      </c>
      <c r="F6" s="393" t="s">
        <v>8</v>
      </c>
      <c r="G6" s="393"/>
      <c r="H6" s="393"/>
      <c r="I6" s="393" t="s">
        <v>12</v>
      </c>
      <c r="J6" s="393"/>
      <c r="K6" s="393"/>
      <c r="L6" s="393"/>
      <c r="M6" s="393"/>
      <c r="N6" s="391" t="s">
        <v>17</v>
      </c>
      <c r="O6" s="391"/>
      <c r="P6" s="386" t="s">
        <v>18</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x14ac:dyDescent="0.3">
      <c r="A9" s="13">
        <v>1</v>
      </c>
      <c r="B9" s="14" t="s">
        <v>20</v>
      </c>
      <c r="C9" s="15"/>
      <c r="D9" s="16"/>
      <c r="E9" s="16"/>
      <c r="F9" s="16"/>
      <c r="G9" s="16"/>
      <c r="H9" s="16"/>
      <c r="I9" s="16"/>
      <c r="J9" s="16"/>
      <c r="K9" s="16"/>
      <c r="L9" s="16"/>
      <c r="M9" s="16"/>
      <c r="N9" s="14"/>
      <c r="O9" s="15"/>
      <c r="P9" s="16"/>
    </row>
    <row r="10" spans="1:16" x14ac:dyDescent="0.3">
      <c r="A10" s="13"/>
      <c r="B10" s="17" t="s">
        <v>57</v>
      </c>
      <c r="C10" s="15" t="s">
        <v>21</v>
      </c>
      <c r="D10" s="18">
        <v>403.56</v>
      </c>
      <c r="E10" s="16" t="s">
        <v>36</v>
      </c>
      <c r="F10" s="19">
        <v>0</v>
      </c>
      <c r="G10" s="19">
        <v>30</v>
      </c>
      <c r="H10" s="19">
        <f>SUM(F10:G10)</f>
        <v>30</v>
      </c>
      <c r="I10" s="19">
        <v>0</v>
      </c>
      <c r="J10" s="19"/>
      <c r="K10" s="19">
        <v>10</v>
      </c>
      <c r="L10" s="19">
        <v>0</v>
      </c>
      <c r="M10" s="20">
        <f>SUM(I10:L10)</f>
        <v>10</v>
      </c>
      <c r="N10" s="17" t="s">
        <v>51</v>
      </c>
      <c r="O10" s="15" t="s">
        <v>47</v>
      </c>
      <c r="P10" s="16"/>
    </row>
    <row r="11" spans="1:16" x14ac:dyDescent="0.3">
      <c r="A11" s="13"/>
      <c r="B11" s="14"/>
      <c r="C11" s="15"/>
      <c r="D11" s="18"/>
      <c r="E11" s="16" t="s">
        <v>37</v>
      </c>
      <c r="F11" s="19">
        <v>0</v>
      </c>
      <c r="G11" s="19">
        <v>325</v>
      </c>
      <c r="H11" s="19">
        <f t="shared" ref="H11:H17" si="0">SUM(F11:G11)</f>
        <v>325</v>
      </c>
      <c r="I11" s="19">
        <v>0</v>
      </c>
      <c r="J11" s="19">
        <v>0</v>
      </c>
      <c r="K11" s="19">
        <v>5</v>
      </c>
      <c r="L11" s="19">
        <v>0</v>
      </c>
      <c r="M11" s="20">
        <f t="shared" ref="M11:M17" si="1">SUM(I11:L11)</f>
        <v>5</v>
      </c>
      <c r="N11" s="17" t="s">
        <v>51</v>
      </c>
      <c r="O11" s="25" t="s">
        <v>50</v>
      </c>
      <c r="P11" s="16"/>
    </row>
    <row r="12" spans="1:16" x14ac:dyDescent="0.3">
      <c r="A12" s="13"/>
      <c r="B12" s="14"/>
      <c r="C12" s="15"/>
      <c r="D12" s="18"/>
      <c r="E12" s="16" t="s">
        <v>38</v>
      </c>
      <c r="F12" s="19">
        <v>0</v>
      </c>
      <c r="G12" s="19">
        <v>310</v>
      </c>
      <c r="H12" s="19">
        <f t="shared" si="0"/>
        <v>310</v>
      </c>
      <c r="I12" s="19">
        <v>0</v>
      </c>
      <c r="J12" s="19">
        <v>0</v>
      </c>
      <c r="K12" s="19">
        <v>5</v>
      </c>
      <c r="L12" s="19">
        <v>0</v>
      </c>
      <c r="M12" s="20">
        <f t="shared" si="1"/>
        <v>5</v>
      </c>
      <c r="N12" s="17" t="s">
        <v>51</v>
      </c>
      <c r="O12" s="15" t="s">
        <v>49</v>
      </c>
      <c r="P12" s="16"/>
    </row>
    <row r="13" spans="1:16" ht="28" x14ac:dyDescent="0.3">
      <c r="A13" s="13"/>
      <c r="B13" s="14"/>
      <c r="C13" s="15"/>
      <c r="D13" s="18"/>
      <c r="E13" s="21" t="s">
        <v>39</v>
      </c>
      <c r="F13" s="22">
        <v>50</v>
      </c>
      <c r="G13" s="22">
        <v>0</v>
      </c>
      <c r="H13" s="22">
        <f t="shared" si="0"/>
        <v>50</v>
      </c>
      <c r="I13" s="22">
        <v>0</v>
      </c>
      <c r="J13" s="22">
        <v>0</v>
      </c>
      <c r="K13" s="22">
        <v>0</v>
      </c>
      <c r="L13" s="22">
        <v>0</v>
      </c>
      <c r="M13" s="23">
        <f t="shared" si="1"/>
        <v>0</v>
      </c>
      <c r="N13" s="24" t="s">
        <v>51</v>
      </c>
      <c r="O13" s="31" t="s">
        <v>48</v>
      </c>
      <c r="P13" s="16"/>
    </row>
    <row r="14" spans="1:16" x14ac:dyDescent="0.3">
      <c r="A14" s="13"/>
      <c r="B14" s="17" t="s">
        <v>58</v>
      </c>
      <c r="C14" s="15" t="s">
        <v>22</v>
      </c>
      <c r="D14" s="18">
        <v>498</v>
      </c>
      <c r="E14" s="16" t="s">
        <v>36</v>
      </c>
      <c r="F14" s="19">
        <v>0</v>
      </c>
      <c r="G14" s="19">
        <v>30</v>
      </c>
      <c r="H14" s="19">
        <f t="shared" si="0"/>
        <v>30</v>
      </c>
      <c r="I14" s="19">
        <v>0</v>
      </c>
      <c r="J14" s="19">
        <v>0</v>
      </c>
      <c r="K14" s="19">
        <v>0</v>
      </c>
      <c r="L14" s="19">
        <v>0</v>
      </c>
      <c r="M14" s="20">
        <f t="shared" si="1"/>
        <v>0</v>
      </c>
      <c r="N14" s="14"/>
      <c r="P14" s="16"/>
    </row>
    <row r="15" spans="1:16" x14ac:dyDescent="0.3">
      <c r="A15" s="13"/>
      <c r="B15" s="14"/>
      <c r="C15" s="15"/>
      <c r="D15" s="26"/>
      <c r="E15" s="16" t="s">
        <v>37</v>
      </c>
      <c r="F15" s="19">
        <v>0</v>
      </c>
      <c r="G15" s="19">
        <v>355</v>
      </c>
      <c r="H15" s="19">
        <f t="shared" si="0"/>
        <v>355</v>
      </c>
      <c r="I15" s="19">
        <v>0</v>
      </c>
      <c r="J15" s="19">
        <v>0</v>
      </c>
      <c r="K15" s="19">
        <v>10</v>
      </c>
      <c r="L15" s="19">
        <v>0</v>
      </c>
      <c r="M15" s="20">
        <f t="shared" si="1"/>
        <v>10</v>
      </c>
      <c r="N15" s="14"/>
      <c r="O15" s="15"/>
      <c r="P15" s="16"/>
    </row>
    <row r="16" spans="1:16" x14ac:dyDescent="0.3">
      <c r="A16" s="13"/>
      <c r="B16" s="14"/>
      <c r="C16" s="15"/>
      <c r="D16" s="26"/>
      <c r="E16" s="16" t="s">
        <v>38</v>
      </c>
      <c r="F16" s="19">
        <v>0</v>
      </c>
      <c r="G16" s="19">
        <v>327</v>
      </c>
      <c r="H16" s="19">
        <f t="shared" si="0"/>
        <v>327</v>
      </c>
      <c r="I16" s="19">
        <v>0</v>
      </c>
      <c r="J16" s="19">
        <v>0</v>
      </c>
      <c r="K16" s="19">
        <v>0</v>
      </c>
      <c r="L16" s="19">
        <v>0</v>
      </c>
      <c r="M16" s="20">
        <f t="shared" si="1"/>
        <v>0</v>
      </c>
      <c r="N16" s="14"/>
      <c r="O16" s="15"/>
      <c r="P16" s="16"/>
    </row>
    <row r="17" spans="1:16" ht="28" x14ac:dyDescent="0.3">
      <c r="A17" s="13"/>
      <c r="B17" s="14"/>
      <c r="C17" s="15"/>
      <c r="D17" s="26"/>
      <c r="E17" s="27" t="s">
        <v>39</v>
      </c>
      <c r="F17" s="22">
        <v>45</v>
      </c>
      <c r="G17" s="22">
        <v>0</v>
      </c>
      <c r="H17" s="22">
        <f t="shared" si="0"/>
        <v>45</v>
      </c>
      <c r="I17" s="22">
        <v>0</v>
      </c>
      <c r="J17" s="22">
        <v>0</v>
      </c>
      <c r="K17" s="22">
        <v>0</v>
      </c>
      <c r="L17" s="22">
        <v>0</v>
      </c>
      <c r="M17" s="23">
        <f t="shared" si="1"/>
        <v>0</v>
      </c>
      <c r="N17" s="28"/>
      <c r="O17" s="25"/>
      <c r="P17" s="29"/>
    </row>
    <row r="18" spans="1:16" x14ac:dyDescent="0.3">
      <c r="A18" s="13"/>
      <c r="B18" s="14"/>
      <c r="C18" s="15"/>
      <c r="D18" s="26"/>
      <c r="E18" s="16"/>
      <c r="F18" s="16"/>
      <c r="G18" s="16"/>
      <c r="H18" s="16"/>
      <c r="I18" s="16"/>
      <c r="J18" s="16"/>
      <c r="K18" s="16"/>
      <c r="L18" s="16"/>
      <c r="M18" s="16"/>
      <c r="N18" s="14"/>
      <c r="O18" s="15"/>
      <c r="P18" s="16"/>
    </row>
    <row r="19" spans="1:16" x14ac:dyDescent="0.3">
      <c r="A19" s="13">
        <v>2</v>
      </c>
      <c r="B19" s="14" t="s">
        <v>23</v>
      </c>
      <c r="C19" s="15"/>
      <c r="D19" s="26"/>
      <c r="E19" s="16"/>
      <c r="F19" s="16"/>
      <c r="G19" s="16"/>
      <c r="H19" s="16"/>
      <c r="I19" s="16"/>
      <c r="J19" s="16"/>
      <c r="K19" s="16"/>
      <c r="L19" s="16"/>
      <c r="M19" s="16"/>
      <c r="N19" s="14"/>
      <c r="O19" s="15"/>
      <c r="P19" s="16"/>
    </row>
    <row r="20" spans="1:16" x14ac:dyDescent="0.3">
      <c r="A20" s="13"/>
      <c r="B20" s="14" t="s">
        <v>57</v>
      </c>
      <c r="C20" s="15" t="s">
        <v>22</v>
      </c>
      <c r="D20" s="26">
        <v>198</v>
      </c>
      <c r="E20" s="16" t="s">
        <v>40</v>
      </c>
      <c r="F20" s="19">
        <v>0</v>
      </c>
      <c r="G20" s="19">
        <v>158</v>
      </c>
      <c r="H20" s="19">
        <f t="shared" ref="H20:H21" si="2">SUM(F20:G20)</f>
        <v>158</v>
      </c>
      <c r="I20" s="19">
        <v>0</v>
      </c>
      <c r="J20" s="19">
        <v>10</v>
      </c>
      <c r="K20" s="19">
        <v>0</v>
      </c>
      <c r="L20" s="19">
        <v>0</v>
      </c>
      <c r="M20" s="20">
        <f t="shared" ref="M20:M21" si="3">SUM(I20:L20)</f>
        <v>10</v>
      </c>
      <c r="N20" s="17" t="s">
        <v>51</v>
      </c>
      <c r="O20" s="396" t="s">
        <v>54</v>
      </c>
      <c r="P20" s="16"/>
    </row>
    <row r="21" spans="1:16" x14ac:dyDescent="0.3">
      <c r="A21" s="13"/>
      <c r="B21" s="14"/>
      <c r="C21" s="15"/>
      <c r="D21" s="26"/>
      <c r="E21" s="16"/>
      <c r="F21" s="19"/>
      <c r="G21" s="19">
        <v>0</v>
      </c>
      <c r="H21" s="19">
        <f t="shared" si="2"/>
        <v>0</v>
      </c>
      <c r="I21" s="19">
        <v>0</v>
      </c>
      <c r="J21" s="19">
        <v>0</v>
      </c>
      <c r="K21" s="19">
        <v>0</v>
      </c>
      <c r="L21" s="19">
        <v>0</v>
      </c>
      <c r="M21" s="20">
        <f t="shared" si="3"/>
        <v>0</v>
      </c>
      <c r="N21" s="14"/>
      <c r="O21" s="397"/>
      <c r="P21" s="16"/>
    </row>
    <row r="22" spans="1:16" x14ac:dyDescent="0.3">
      <c r="A22" s="13"/>
      <c r="B22" s="14"/>
      <c r="C22" s="15"/>
      <c r="D22" s="26"/>
      <c r="E22" s="16"/>
      <c r="F22" s="19"/>
      <c r="G22" s="19"/>
      <c r="H22" s="19"/>
      <c r="I22" s="19"/>
      <c r="J22" s="19"/>
      <c r="K22" s="19"/>
      <c r="L22" s="19"/>
      <c r="M22" s="19"/>
      <c r="N22" s="14"/>
      <c r="O22" s="15"/>
      <c r="P22" s="16"/>
    </row>
    <row r="23" spans="1:16" x14ac:dyDescent="0.3">
      <c r="A23" s="13">
        <v>3</v>
      </c>
      <c r="B23" s="14" t="s">
        <v>19</v>
      </c>
      <c r="C23" s="15"/>
      <c r="D23" s="26"/>
      <c r="E23" s="16"/>
      <c r="F23" s="19"/>
      <c r="G23" s="19"/>
      <c r="H23" s="19"/>
      <c r="I23" s="19"/>
      <c r="J23" s="19"/>
      <c r="K23" s="19"/>
      <c r="L23" s="19"/>
      <c r="M23" s="19"/>
      <c r="N23" s="14"/>
      <c r="O23" s="15"/>
      <c r="P23" s="16"/>
    </row>
    <row r="24" spans="1:16" x14ac:dyDescent="0.3">
      <c r="A24" s="13"/>
      <c r="B24" s="14" t="s">
        <v>57</v>
      </c>
      <c r="C24" s="15" t="s">
        <v>24</v>
      </c>
      <c r="D24" s="26">
        <v>1372.2</v>
      </c>
      <c r="E24" s="30" t="s">
        <v>52</v>
      </c>
      <c r="F24" s="19">
        <v>0</v>
      </c>
      <c r="G24" s="26">
        <v>137.22</v>
      </c>
      <c r="H24" s="26">
        <f>SUM(F24:G24)</f>
        <v>137.22</v>
      </c>
      <c r="I24" s="19">
        <v>0</v>
      </c>
      <c r="J24" s="19">
        <v>0</v>
      </c>
      <c r="K24" s="19">
        <v>5</v>
      </c>
      <c r="L24" s="19">
        <v>0</v>
      </c>
      <c r="M24" s="19">
        <f>SUM(I24:L24)</f>
        <v>5</v>
      </c>
      <c r="N24" s="14"/>
      <c r="O24" s="15" t="s">
        <v>126</v>
      </c>
      <c r="P24" s="16"/>
    </row>
    <row r="25" spans="1:16" x14ac:dyDescent="0.3">
      <c r="A25" s="13"/>
      <c r="B25" s="14" t="s">
        <v>58</v>
      </c>
      <c r="C25" s="15" t="s">
        <v>25</v>
      </c>
      <c r="D25" s="26">
        <v>995.2</v>
      </c>
      <c r="E25" s="30" t="s">
        <v>52</v>
      </c>
      <c r="F25" s="19">
        <v>0</v>
      </c>
      <c r="G25" s="26">
        <v>99.52</v>
      </c>
      <c r="H25" s="26">
        <f t="shared" ref="H25:H44" si="4">SUM(F25:G25)</f>
        <v>99.52</v>
      </c>
      <c r="I25" s="19">
        <v>0</v>
      </c>
      <c r="J25" s="19">
        <v>0</v>
      </c>
      <c r="K25" s="19">
        <v>10</v>
      </c>
      <c r="L25" s="19">
        <v>0</v>
      </c>
      <c r="M25" s="19">
        <f t="shared" ref="M25:M44" si="5">SUM(I25:L25)</f>
        <v>10</v>
      </c>
      <c r="N25" s="14"/>
      <c r="O25" s="15" t="s">
        <v>127</v>
      </c>
      <c r="P25" s="16"/>
    </row>
    <row r="26" spans="1:16" x14ac:dyDescent="0.3">
      <c r="A26" s="13"/>
      <c r="B26" s="14" t="s">
        <v>59</v>
      </c>
      <c r="C26" s="15" t="s">
        <v>26</v>
      </c>
      <c r="D26" s="26">
        <v>716.5</v>
      </c>
      <c r="E26" s="30" t="s">
        <v>52</v>
      </c>
      <c r="F26" s="19">
        <v>0</v>
      </c>
      <c r="G26" s="26">
        <v>72.650000000000006</v>
      </c>
      <c r="H26" s="26">
        <f t="shared" si="4"/>
        <v>72.650000000000006</v>
      </c>
      <c r="I26" s="19">
        <v>0</v>
      </c>
      <c r="J26" s="19">
        <v>0</v>
      </c>
      <c r="K26" s="19">
        <v>0</v>
      </c>
      <c r="L26" s="19">
        <v>0</v>
      </c>
      <c r="M26" s="19">
        <f t="shared" si="5"/>
        <v>0</v>
      </c>
      <c r="N26" s="14"/>
      <c r="O26" s="15"/>
      <c r="P26" s="16"/>
    </row>
    <row r="27" spans="1:16" x14ac:dyDescent="0.3">
      <c r="A27" s="13"/>
      <c r="B27" s="14" t="s">
        <v>60</v>
      </c>
      <c r="C27" s="15" t="s">
        <v>55</v>
      </c>
      <c r="D27" s="26">
        <v>955.3</v>
      </c>
      <c r="E27" s="30" t="s">
        <v>52</v>
      </c>
      <c r="F27" s="19">
        <v>0</v>
      </c>
      <c r="G27" s="26">
        <v>95</v>
      </c>
      <c r="H27" s="26">
        <f t="shared" si="4"/>
        <v>95</v>
      </c>
      <c r="I27" s="19">
        <v>0</v>
      </c>
      <c r="J27" s="19">
        <v>0</v>
      </c>
      <c r="K27" s="19">
        <v>0</v>
      </c>
      <c r="L27" s="19">
        <v>0</v>
      </c>
      <c r="M27" s="19">
        <f t="shared" si="5"/>
        <v>0</v>
      </c>
      <c r="N27" s="14"/>
      <c r="O27" s="15"/>
      <c r="P27" s="16"/>
    </row>
    <row r="28" spans="1:16" x14ac:dyDescent="0.3">
      <c r="A28" s="13"/>
      <c r="B28" s="14" t="s">
        <v>61</v>
      </c>
      <c r="C28" s="15" t="s">
        <v>27</v>
      </c>
      <c r="D28" s="26">
        <v>901.2</v>
      </c>
      <c r="E28" s="30" t="s">
        <v>52</v>
      </c>
      <c r="F28" s="19">
        <v>0</v>
      </c>
      <c r="G28" s="26">
        <v>90</v>
      </c>
      <c r="H28" s="26">
        <f t="shared" si="4"/>
        <v>90</v>
      </c>
      <c r="I28" s="19">
        <v>0</v>
      </c>
      <c r="J28" s="19">
        <v>0</v>
      </c>
      <c r="K28" s="19">
        <v>0</v>
      </c>
      <c r="L28" s="19">
        <v>0</v>
      </c>
      <c r="M28" s="19">
        <f t="shared" si="5"/>
        <v>0</v>
      </c>
      <c r="N28" s="14"/>
      <c r="O28" s="15"/>
      <c r="P28" s="16"/>
    </row>
    <row r="29" spans="1:16" x14ac:dyDescent="0.3">
      <c r="A29" s="13"/>
      <c r="B29" s="14" t="s">
        <v>62</v>
      </c>
      <c r="C29" s="15" t="s">
        <v>28</v>
      </c>
      <c r="D29" s="26">
        <v>871</v>
      </c>
      <c r="E29" s="30" t="s">
        <v>52</v>
      </c>
      <c r="F29" s="19">
        <v>0</v>
      </c>
      <c r="G29" s="26">
        <v>87</v>
      </c>
      <c r="H29" s="26">
        <f t="shared" si="4"/>
        <v>87</v>
      </c>
      <c r="I29" s="19">
        <v>0</v>
      </c>
      <c r="J29" s="19">
        <v>0</v>
      </c>
      <c r="K29" s="19">
        <v>0</v>
      </c>
      <c r="L29" s="19">
        <v>0</v>
      </c>
      <c r="M29" s="19">
        <f t="shared" si="5"/>
        <v>0</v>
      </c>
      <c r="N29" s="14"/>
      <c r="O29" s="15"/>
      <c r="P29" s="16"/>
    </row>
    <row r="30" spans="1:16" x14ac:dyDescent="0.3">
      <c r="A30" s="13"/>
      <c r="B30" s="14" t="s">
        <v>63</v>
      </c>
      <c r="C30" s="15" t="s">
        <v>29</v>
      </c>
      <c r="D30" s="26">
        <v>1516</v>
      </c>
      <c r="E30" s="30" t="s">
        <v>52</v>
      </c>
      <c r="F30" s="19">
        <v>0</v>
      </c>
      <c r="G30" s="26">
        <v>151.5</v>
      </c>
      <c r="H30" s="26">
        <f t="shared" si="4"/>
        <v>151.5</v>
      </c>
      <c r="I30" s="19">
        <v>0</v>
      </c>
      <c r="J30" s="19">
        <v>0</v>
      </c>
      <c r="K30" s="19">
        <v>0</v>
      </c>
      <c r="L30" s="19">
        <v>0</v>
      </c>
      <c r="M30" s="19">
        <f t="shared" si="5"/>
        <v>0</v>
      </c>
      <c r="N30" s="14"/>
      <c r="O30" s="15"/>
      <c r="P30" s="16"/>
    </row>
    <row r="31" spans="1:16" x14ac:dyDescent="0.3">
      <c r="A31" s="13"/>
      <c r="B31" s="14" t="s">
        <v>64</v>
      </c>
      <c r="C31" s="15" t="s">
        <v>56</v>
      </c>
      <c r="D31" s="26">
        <v>97.2</v>
      </c>
      <c r="E31" s="30" t="s">
        <v>52</v>
      </c>
      <c r="F31" s="19">
        <v>0</v>
      </c>
      <c r="G31" s="26">
        <v>9.5</v>
      </c>
      <c r="H31" s="26">
        <f t="shared" si="4"/>
        <v>9.5</v>
      </c>
      <c r="I31" s="19">
        <v>0</v>
      </c>
      <c r="J31" s="19">
        <v>0</v>
      </c>
      <c r="K31" s="19">
        <v>0</v>
      </c>
      <c r="L31" s="19">
        <v>0</v>
      </c>
      <c r="M31" s="19">
        <f t="shared" si="5"/>
        <v>0</v>
      </c>
      <c r="N31" s="14"/>
      <c r="O31" s="15"/>
      <c r="P31" s="16"/>
    </row>
    <row r="32" spans="1:16" x14ac:dyDescent="0.3">
      <c r="A32" s="13"/>
      <c r="B32" s="14" t="s">
        <v>65</v>
      </c>
      <c r="C32" s="15" t="s">
        <v>30</v>
      </c>
      <c r="D32" s="26">
        <v>1502.3</v>
      </c>
      <c r="E32" s="30" t="s">
        <v>52</v>
      </c>
      <c r="F32" s="19">
        <v>0</v>
      </c>
      <c r="G32" s="26">
        <v>150</v>
      </c>
      <c r="H32" s="26">
        <f t="shared" si="4"/>
        <v>150</v>
      </c>
      <c r="I32" s="19">
        <v>0</v>
      </c>
      <c r="J32" s="19">
        <v>0</v>
      </c>
      <c r="K32" s="19">
        <v>0</v>
      </c>
      <c r="L32" s="19">
        <v>0</v>
      </c>
      <c r="M32" s="19">
        <f t="shared" si="5"/>
        <v>0</v>
      </c>
      <c r="N32" s="14"/>
      <c r="O32" s="15"/>
      <c r="P32" s="16"/>
    </row>
    <row r="33" spans="1:16" x14ac:dyDescent="0.3">
      <c r="A33" s="13"/>
      <c r="B33" s="14" t="s">
        <v>66</v>
      </c>
      <c r="C33" s="15" t="s">
        <v>31</v>
      </c>
      <c r="D33" s="26">
        <v>1518</v>
      </c>
      <c r="E33" s="30" t="s">
        <v>52</v>
      </c>
      <c r="F33" s="19">
        <v>0</v>
      </c>
      <c r="G33" s="26">
        <v>151</v>
      </c>
      <c r="H33" s="26">
        <f t="shared" si="4"/>
        <v>151</v>
      </c>
      <c r="I33" s="19">
        <v>0</v>
      </c>
      <c r="J33" s="19">
        <v>0</v>
      </c>
      <c r="K33" s="19">
        <v>0</v>
      </c>
      <c r="L33" s="19">
        <v>0</v>
      </c>
      <c r="M33" s="19">
        <f t="shared" si="5"/>
        <v>0</v>
      </c>
      <c r="N33" s="14"/>
      <c r="O33" s="15"/>
      <c r="P33" s="16"/>
    </row>
    <row r="34" spans="1:16" x14ac:dyDescent="0.3">
      <c r="A34" s="13"/>
      <c r="B34" s="14" t="s">
        <v>67</v>
      </c>
      <c r="C34" s="15" t="s">
        <v>32</v>
      </c>
      <c r="D34" s="26">
        <v>997.4</v>
      </c>
      <c r="E34" s="30" t="s">
        <v>52</v>
      </c>
      <c r="F34" s="19">
        <v>0</v>
      </c>
      <c r="G34" s="26">
        <v>99.5</v>
      </c>
      <c r="H34" s="26">
        <f t="shared" si="4"/>
        <v>99.5</v>
      </c>
      <c r="I34" s="19">
        <v>0</v>
      </c>
      <c r="J34" s="19">
        <v>0</v>
      </c>
      <c r="K34" s="19">
        <v>0</v>
      </c>
      <c r="L34" s="19">
        <v>0</v>
      </c>
      <c r="M34" s="19">
        <f t="shared" si="5"/>
        <v>0</v>
      </c>
      <c r="N34" s="14"/>
      <c r="O34" s="15"/>
      <c r="P34" s="16"/>
    </row>
    <row r="35" spans="1:16" x14ac:dyDescent="0.3">
      <c r="A35" s="13"/>
      <c r="B35" s="14" t="s">
        <v>68</v>
      </c>
      <c r="C35" s="15" t="s">
        <v>33</v>
      </c>
      <c r="D35" s="26">
        <v>1304</v>
      </c>
      <c r="E35" s="30" t="s">
        <v>52</v>
      </c>
      <c r="F35" s="19">
        <v>0</v>
      </c>
      <c r="G35" s="26">
        <v>129</v>
      </c>
      <c r="H35" s="26">
        <f t="shared" si="4"/>
        <v>129</v>
      </c>
      <c r="I35" s="19">
        <v>0</v>
      </c>
      <c r="J35" s="19">
        <v>0</v>
      </c>
      <c r="K35" s="19">
        <v>0</v>
      </c>
      <c r="L35" s="19">
        <v>0</v>
      </c>
      <c r="M35" s="19">
        <f t="shared" si="5"/>
        <v>0</v>
      </c>
      <c r="N35" s="14"/>
      <c r="O35" s="15"/>
      <c r="P35" s="16"/>
    </row>
    <row r="36" spans="1:16" x14ac:dyDescent="0.3">
      <c r="A36" s="13"/>
      <c r="B36" s="14" t="s">
        <v>69</v>
      </c>
      <c r="C36" s="15" t="s">
        <v>34</v>
      </c>
      <c r="D36" s="26">
        <v>1704</v>
      </c>
      <c r="E36" s="30" t="s">
        <v>52</v>
      </c>
      <c r="F36" s="19">
        <v>0</v>
      </c>
      <c r="G36" s="26">
        <v>170</v>
      </c>
      <c r="H36" s="26">
        <f t="shared" si="4"/>
        <v>170</v>
      </c>
      <c r="I36" s="19">
        <v>0</v>
      </c>
      <c r="J36" s="19">
        <v>0</v>
      </c>
      <c r="K36" s="19">
        <v>0</v>
      </c>
      <c r="L36" s="19">
        <v>0</v>
      </c>
      <c r="M36" s="19">
        <f t="shared" si="5"/>
        <v>0</v>
      </c>
      <c r="N36" s="14"/>
      <c r="O36" s="15"/>
      <c r="P36" s="16"/>
    </row>
    <row r="37" spans="1:16" x14ac:dyDescent="0.3">
      <c r="A37" s="13"/>
      <c r="B37" s="14" t="s">
        <v>70</v>
      </c>
      <c r="C37" s="15" t="s">
        <v>35</v>
      </c>
      <c r="D37" s="26">
        <v>1557</v>
      </c>
      <c r="E37" s="30" t="s">
        <v>52</v>
      </c>
      <c r="F37" s="19">
        <v>0</v>
      </c>
      <c r="G37" s="26">
        <v>154</v>
      </c>
      <c r="H37" s="26">
        <f t="shared" si="4"/>
        <v>154</v>
      </c>
      <c r="I37" s="19">
        <v>0</v>
      </c>
      <c r="J37" s="19">
        <v>0</v>
      </c>
      <c r="K37" s="19">
        <v>0</v>
      </c>
      <c r="L37" s="19">
        <v>0</v>
      </c>
      <c r="M37" s="19">
        <f t="shared" si="5"/>
        <v>0</v>
      </c>
      <c r="N37" s="14"/>
      <c r="O37" s="15"/>
      <c r="P37" s="16"/>
    </row>
    <row r="38" spans="1:16" x14ac:dyDescent="0.3">
      <c r="A38" s="13"/>
      <c r="B38" s="14" t="s">
        <v>71</v>
      </c>
      <c r="C38" s="15" t="s">
        <v>21</v>
      </c>
      <c r="D38" s="26">
        <v>1669</v>
      </c>
      <c r="E38" s="30" t="s">
        <v>52</v>
      </c>
      <c r="F38" s="19">
        <v>0</v>
      </c>
      <c r="G38" s="26">
        <v>165</v>
      </c>
      <c r="H38" s="26">
        <f t="shared" si="4"/>
        <v>165</v>
      </c>
      <c r="I38" s="19">
        <v>0</v>
      </c>
      <c r="J38" s="19">
        <v>0</v>
      </c>
      <c r="K38" s="19">
        <v>0</v>
      </c>
      <c r="L38" s="19">
        <v>0</v>
      </c>
      <c r="M38" s="19">
        <f t="shared" si="5"/>
        <v>0</v>
      </c>
      <c r="N38" s="14"/>
      <c r="O38" s="15"/>
      <c r="P38" s="16"/>
    </row>
    <row r="39" spans="1:16" x14ac:dyDescent="0.3">
      <c r="A39" s="13"/>
      <c r="B39" s="14" t="s">
        <v>72</v>
      </c>
      <c r="C39" s="15" t="s">
        <v>42</v>
      </c>
      <c r="D39" s="26">
        <v>773</v>
      </c>
      <c r="E39" s="30" t="s">
        <v>52</v>
      </c>
      <c r="F39" s="19">
        <v>0</v>
      </c>
      <c r="G39" s="26">
        <v>75</v>
      </c>
      <c r="H39" s="26">
        <f t="shared" si="4"/>
        <v>75</v>
      </c>
      <c r="I39" s="19">
        <v>0</v>
      </c>
      <c r="J39" s="19">
        <v>0</v>
      </c>
      <c r="K39" s="19">
        <v>0</v>
      </c>
      <c r="L39" s="19">
        <v>0</v>
      </c>
      <c r="M39" s="19">
        <f t="shared" si="5"/>
        <v>0</v>
      </c>
      <c r="N39" s="14"/>
      <c r="O39" s="15"/>
      <c r="P39" s="16"/>
    </row>
    <row r="40" spans="1:16" x14ac:dyDescent="0.3">
      <c r="A40" s="13"/>
      <c r="B40" s="14"/>
      <c r="C40" s="15"/>
      <c r="D40" s="26"/>
      <c r="E40" s="16" t="s">
        <v>45</v>
      </c>
      <c r="F40" s="19">
        <v>0</v>
      </c>
      <c r="G40" s="26">
        <v>65</v>
      </c>
      <c r="H40" s="26">
        <f t="shared" si="4"/>
        <v>65</v>
      </c>
      <c r="I40" s="19">
        <v>0</v>
      </c>
      <c r="J40" s="19">
        <v>0</v>
      </c>
      <c r="K40" s="19">
        <v>0</v>
      </c>
      <c r="L40" s="19">
        <v>0</v>
      </c>
      <c r="M40" s="19">
        <f t="shared" si="5"/>
        <v>0</v>
      </c>
      <c r="N40" s="14"/>
      <c r="O40" s="15"/>
      <c r="P40" s="16"/>
    </row>
    <row r="41" spans="1:16" x14ac:dyDescent="0.3">
      <c r="A41" s="13"/>
      <c r="B41" s="14" t="s">
        <v>73</v>
      </c>
      <c r="C41" s="15" t="s">
        <v>22</v>
      </c>
      <c r="D41" s="26">
        <v>1146</v>
      </c>
      <c r="E41" s="30" t="s">
        <v>52</v>
      </c>
      <c r="F41" s="19">
        <v>0</v>
      </c>
      <c r="G41" s="26">
        <v>114</v>
      </c>
      <c r="H41" s="26">
        <f t="shared" si="4"/>
        <v>114</v>
      </c>
      <c r="I41" s="19">
        <v>0</v>
      </c>
      <c r="J41" s="19">
        <v>0</v>
      </c>
      <c r="K41" s="19">
        <v>0</v>
      </c>
      <c r="L41" s="19">
        <v>0</v>
      </c>
      <c r="M41" s="19">
        <f t="shared" si="5"/>
        <v>0</v>
      </c>
      <c r="N41" s="14"/>
      <c r="O41" s="15"/>
      <c r="P41" s="16"/>
    </row>
    <row r="42" spans="1:16" x14ac:dyDescent="0.3">
      <c r="A42" s="13"/>
      <c r="B42" s="14"/>
      <c r="C42" s="15"/>
      <c r="D42" s="26"/>
      <c r="E42" s="16" t="s">
        <v>45</v>
      </c>
      <c r="F42" s="19">
        <v>0</v>
      </c>
      <c r="G42" s="26">
        <v>55</v>
      </c>
      <c r="H42" s="26">
        <f t="shared" si="4"/>
        <v>55</v>
      </c>
      <c r="I42" s="19">
        <v>0</v>
      </c>
      <c r="J42" s="19">
        <v>0</v>
      </c>
      <c r="K42" s="19">
        <v>0</v>
      </c>
      <c r="L42" s="19">
        <v>0</v>
      </c>
      <c r="M42" s="19">
        <f t="shared" si="5"/>
        <v>0</v>
      </c>
      <c r="N42" s="14"/>
      <c r="O42" s="15"/>
      <c r="P42" s="16"/>
    </row>
    <row r="43" spans="1:16" x14ac:dyDescent="0.3">
      <c r="A43" s="13"/>
      <c r="B43" s="14" t="s">
        <v>74</v>
      </c>
      <c r="C43" s="15" t="s">
        <v>43</v>
      </c>
      <c r="D43" s="26">
        <v>1189</v>
      </c>
      <c r="E43" s="30" t="s">
        <v>52</v>
      </c>
      <c r="F43" s="19">
        <v>0</v>
      </c>
      <c r="G43" s="26">
        <v>115</v>
      </c>
      <c r="H43" s="26">
        <f t="shared" si="4"/>
        <v>115</v>
      </c>
      <c r="I43" s="19">
        <v>0</v>
      </c>
      <c r="J43" s="19">
        <v>0</v>
      </c>
      <c r="K43" s="19">
        <v>0</v>
      </c>
      <c r="L43" s="19">
        <v>0</v>
      </c>
      <c r="M43" s="19">
        <f t="shared" si="5"/>
        <v>0</v>
      </c>
      <c r="N43" s="14"/>
      <c r="O43" s="15"/>
      <c r="P43" s="16"/>
    </row>
    <row r="44" spans="1:16" x14ac:dyDescent="0.3">
      <c r="A44" s="13"/>
      <c r="B44" s="14" t="s">
        <v>75</v>
      </c>
      <c r="C44" s="15" t="s">
        <v>44</v>
      </c>
      <c r="D44" s="26">
        <v>1391</v>
      </c>
      <c r="E44" s="30" t="s">
        <v>52</v>
      </c>
      <c r="F44" s="19">
        <v>0</v>
      </c>
      <c r="G44" s="26">
        <v>136</v>
      </c>
      <c r="H44" s="26">
        <f t="shared" si="4"/>
        <v>136</v>
      </c>
      <c r="I44" s="19">
        <v>0</v>
      </c>
      <c r="J44" s="19">
        <v>0</v>
      </c>
      <c r="K44" s="19">
        <v>0</v>
      </c>
      <c r="L44" s="19">
        <v>0</v>
      </c>
      <c r="M44" s="19">
        <f t="shared" si="5"/>
        <v>0</v>
      </c>
      <c r="N44" s="14"/>
      <c r="O44" s="15"/>
      <c r="P44" s="16"/>
    </row>
    <row r="45" spans="1:16" x14ac:dyDescent="0.3">
      <c r="A45" s="13"/>
      <c r="B45" s="14"/>
      <c r="C45" s="15"/>
      <c r="D45" s="16"/>
      <c r="E45" s="16"/>
      <c r="F45" s="19"/>
      <c r="G45" s="19"/>
      <c r="H45" s="19"/>
      <c r="I45" s="19"/>
      <c r="J45" s="19"/>
      <c r="K45" s="19"/>
      <c r="L45" s="19"/>
      <c r="M45" s="19"/>
      <c r="N45" s="14"/>
      <c r="O45" s="15"/>
      <c r="P45" s="16"/>
    </row>
    <row r="46" spans="1:16" x14ac:dyDescent="0.3">
      <c r="A46" s="13">
        <v>4</v>
      </c>
      <c r="B46" s="14" t="s">
        <v>46</v>
      </c>
      <c r="C46" s="15"/>
      <c r="D46" s="26"/>
      <c r="E46" s="16"/>
      <c r="F46" s="19"/>
      <c r="G46" s="19"/>
      <c r="H46" s="19"/>
      <c r="I46" s="19"/>
      <c r="J46" s="19"/>
      <c r="K46" s="19"/>
      <c r="L46" s="19"/>
      <c r="M46" s="19"/>
      <c r="N46" s="14"/>
      <c r="O46" s="15"/>
      <c r="P46" s="16"/>
    </row>
    <row r="47" spans="1:16" x14ac:dyDescent="0.3">
      <c r="A47" s="13"/>
      <c r="B47" s="14" t="s">
        <v>57</v>
      </c>
      <c r="C47" s="15" t="s">
        <v>29</v>
      </c>
      <c r="D47" s="26">
        <v>175</v>
      </c>
      <c r="E47" s="16" t="s">
        <v>76</v>
      </c>
      <c r="F47" s="26">
        <v>12</v>
      </c>
      <c r="G47" s="19">
        <v>0</v>
      </c>
      <c r="H47" s="26">
        <f>SUM(F47:G47)</f>
        <v>12</v>
      </c>
      <c r="I47" s="19">
        <v>0</v>
      </c>
      <c r="J47" s="19">
        <v>0</v>
      </c>
      <c r="K47" s="19">
        <v>4</v>
      </c>
      <c r="L47" s="19">
        <v>0</v>
      </c>
      <c r="M47" s="19">
        <f>SUM(I47:L47)</f>
        <v>4</v>
      </c>
      <c r="N47" s="14"/>
      <c r="O47" s="15" t="s">
        <v>93</v>
      </c>
      <c r="P47" s="16"/>
    </row>
    <row r="48" spans="1:16" x14ac:dyDescent="0.3">
      <c r="A48" s="13"/>
      <c r="B48" s="14" t="s">
        <v>58</v>
      </c>
      <c r="C48" s="15" t="s">
        <v>33</v>
      </c>
      <c r="D48" s="26">
        <v>270</v>
      </c>
      <c r="E48" s="16" t="s">
        <v>53</v>
      </c>
      <c r="F48" s="26">
        <v>10</v>
      </c>
      <c r="G48" s="19">
        <v>0</v>
      </c>
      <c r="H48" s="26">
        <f t="shared" ref="H48:H52" si="6">SUM(F48:G48)</f>
        <v>10</v>
      </c>
      <c r="I48" s="19">
        <v>0</v>
      </c>
      <c r="J48" s="19">
        <v>0</v>
      </c>
      <c r="K48" s="19">
        <v>5</v>
      </c>
      <c r="L48" s="19">
        <v>0</v>
      </c>
      <c r="M48" s="19">
        <f t="shared" ref="M48:M52" si="7">SUM(I48:L48)</f>
        <v>5</v>
      </c>
      <c r="N48" s="14"/>
      <c r="O48" s="15" t="s">
        <v>94</v>
      </c>
      <c r="P48" s="16"/>
    </row>
    <row r="49" spans="1:16" x14ac:dyDescent="0.3">
      <c r="A49" s="13"/>
      <c r="B49" s="14" t="s">
        <v>59</v>
      </c>
      <c r="C49" s="15" t="s">
        <v>42</v>
      </c>
      <c r="D49" s="26">
        <v>798.93</v>
      </c>
      <c r="E49" s="16"/>
      <c r="F49" s="26">
        <v>61</v>
      </c>
      <c r="G49" s="19">
        <v>0</v>
      </c>
      <c r="H49" s="26">
        <f t="shared" si="6"/>
        <v>61</v>
      </c>
      <c r="I49" s="19">
        <v>0</v>
      </c>
      <c r="J49" s="19"/>
      <c r="K49" s="19">
        <v>0</v>
      </c>
      <c r="L49" s="19">
        <v>0</v>
      </c>
      <c r="M49" s="19">
        <f t="shared" si="7"/>
        <v>0</v>
      </c>
      <c r="N49" s="14"/>
      <c r="O49" s="15"/>
      <c r="P49" s="16"/>
    </row>
    <row r="50" spans="1:16" x14ac:dyDescent="0.3">
      <c r="A50" s="13"/>
      <c r="B50" s="14" t="s">
        <v>60</v>
      </c>
      <c r="C50" s="15" t="s">
        <v>21</v>
      </c>
      <c r="D50" s="26">
        <v>1086.55</v>
      </c>
      <c r="E50" s="16"/>
      <c r="F50" s="26">
        <v>96</v>
      </c>
      <c r="G50" s="19">
        <v>0</v>
      </c>
      <c r="H50" s="26">
        <f t="shared" si="6"/>
        <v>96</v>
      </c>
      <c r="I50" s="19">
        <v>0</v>
      </c>
      <c r="J50" s="19">
        <v>5</v>
      </c>
      <c r="K50" s="19">
        <v>0</v>
      </c>
      <c r="L50" s="19">
        <v>0</v>
      </c>
      <c r="M50" s="19">
        <f t="shared" si="7"/>
        <v>5</v>
      </c>
      <c r="N50" s="14"/>
      <c r="O50" s="15"/>
      <c r="P50" s="16"/>
    </row>
    <row r="51" spans="1:16" x14ac:dyDescent="0.3">
      <c r="A51" s="16"/>
      <c r="B51" s="14" t="s">
        <v>61</v>
      </c>
      <c r="C51" s="15" t="s">
        <v>22</v>
      </c>
      <c r="D51" s="26">
        <v>1084.55</v>
      </c>
      <c r="E51" s="16"/>
      <c r="F51" s="26">
        <v>103</v>
      </c>
      <c r="G51" s="19">
        <v>0</v>
      </c>
      <c r="H51" s="26">
        <f t="shared" si="6"/>
        <v>103</v>
      </c>
      <c r="I51" s="19">
        <v>0</v>
      </c>
      <c r="J51" s="19">
        <v>5</v>
      </c>
      <c r="K51" s="19">
        <v>0</v>
      </c>
      <c r="L51" s="19">
        <v>0</v>
      </c>
      <c r="M51" s="19">
        <f t="shared" si="7"/>
        <v>5</v>
      </c>
      <c r="N51" s="14"/>
      <c r="O51" s="15"/>
      <c r="P51" s="16"/>
    </row>
    <row r="52" spans="1:16" x14ac:dyDescent="0.3">
      <c r="A52" s="16"/>
      <c r="B52" s="14" t="s">
        <v>62</v>
      </c>
      <c r="C52" s="15" t="s">
        <v>43</v>
      </c>
      <c r="D52" s="26">
        <v>33</v>
      </c>
      <c r="E52" s="16"/>
      <c r="F52" s="26">
        <v>2</v>
      </c>
      <c r="G52" s="19">
        <v>0</v>
      </c>
      <c r="H52" s="26">
        <f t="shared" si="6"/>
        <v>2</v>
      </c>
      <c r="I52" s="19">
        <v>0</v>
      </c>
      <c r="J52" s="19">
        <v>0</v>
      </c>
      <c r="K52" s="19">
        <v>0</v>
      </c>
      <c r="L52" s="19">
        <v>0</v>
      </c>
      <c r="M52" s="19">
        <f t="shared" si="7"/>
        <v>0</v>
      </c>
      <c r="N52" s="14"/>
      <c r="O52" s="15"/>
      <c r="P52" s="16"/>
    </row>
    <row r="53" spans="1:16" ht="8.25" customHeight="1" x14ac:dyDescent="0.3">
      <c r="A53" s="6"/>
      <c r="B53" s="9"/>
      <c r="C53" s="11"/>
      <c r="D53" s="6"/>
      <c r="E53" s="6"/>
      <c r="F53" s="7"/>
      <c r="G53" s="7"/>
      <c r="H53" s="7"/>
      <c r="I53" s="7"/>
      <c r="J53" s="7"/>
      <c r="K53" s="7"/>
      <c r="L53" s="7"/>
      <c r="M53" s="7"/>
      <c r="N53" s="9"/>
      <c r="O53" s="11"/>
      <c r="P53" s="6"/>
    </row>
    <row r="54" spans="1:16" x14ac:dyDescent="0.3">
      <c r="F54" s="2"/>
      <c r="G54" s="2"/>
      <c r="H54" s="2"/>
      <c r="I54" s="2"/>
      <c r="J54" s="2"/>
      <c r="K54" s="2"/>
      <c r="L54" s="2"/>
      <c r="M54" s="2"/>
    </row>
  </sheetData>
  <mergeCells count="11">
    <mergeCell ref="A1:P1"/>
    <mergeCell ref="A6:A7"/>
    <mergeCell ref="B6:C6"/>
    <mergeCell ref="D6:D7"/>
    <mergeCell ref="E6:E7"/>
    <mergeCell ref="F6:H6"/>
    <mergeCell ref="I6:M6"/>
    <mergeCell ref="N6:O7"/>
    <mergeCell ref="P6:P7"/>
    <mergeCell ref="B7:C7"/>
    <mergeCell ref="O20:O21"/>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4"/>
  <sheetViews>
    <sheetView topLeftCell="A46" workbookViewId="0">
      <selection activeCell="A55" sqref="A55:XFD65"/>
    </sheetView>
  </sheetViews>
  <sheetFormatPr defaultColWidth="9.1796875" defaultRowHeight="14" x14ac:dyDescent="0.3"/>
  <cols>
    <col min="1" max="1" width="9.1796875" style="1"/>
    <col min="2" max="2" width="2.1796875" style="1" customWidth="1"/>
    <col min="3" max="3" width="18.81640625" style="1" bestFit="1" customWidth="1"/>
    <col min="4" max="4" width="13.54296875" style="1" customWidth="1"/>
    <col min="5" max="5" width="23.81640625" style="1" customWidth="1"/>
    <col min="6" max="6" width="7.54296875" style="1" bestFit="1" customWidth="1"/>
    <col min="7" max="7" width="8.81640625" style="1" customWidth="1"/>
    <col min="8" max="8" width="7.54296875" style="1" bestFit="1" customWidth="1"/>
    <col min="9" max="9" width="6.453125" style="1" bestFit="1" customWidth="1"/>
    <col min="10" max="10" width="6.81640625" style="1" bestFit="1" customWidth="1"/>
    <col min="11" max="11" width="10" style="1" bestFit="1" customWidth="1"/>
    <col min="12" max="12" width="5.54296875" style="1" bestFit="1" customWidth="1"/>
    <col min="13" max="13" width="6.81640625" style="1" bestFit="1" customWidth="1"/>
    <col min="14" max="14" width="2.1796875" style="1" customWidth="1"/>
    <col min="15" max="15" width="23.54296875" style="1" customWidth="1"/>
    <col min="16" max="16" width="13.7265625" style="1" customWidth="1"/>
    <col min="17" max="16384" width="9.1796875" style="1"/>
  </cols>
  <sheetData>
    <row r="1" spans="1:16" x14ac:dyDescent="0.3">
      <c r="A1" s="385" t="s">
        <v>0</v>
      </c>
      <c r="B1" s="385"/>
      <c r="C1" s="385"/>
      <c r="D1" s="385"/>
      <c r="E1" s="385"/>
      <c r="F1" s="385"/>
      <c r="G1" s="385"/>
      <c r="H1" s="385"/>
      <c r="I1" s="385"/>
      <c r="J1" s="385"/>
      <c r="K1" s="385"/>
      <c r="L1" s="385"/>
      <c r="M1" s="385"/>
      <c r="N1" s="385"/>
      <c r="O1" s="385"/>
      <c r="P1" s="385"/>
    </row>
    <row r="3" spans="1:16" x14ac:dyDescent="0.3">
      <c r="A3" s="1" t="s">
        <v>1</v>
      </c>
      <c r="B3" s="1" t="s">
        <v>78</v>
      </c>
      <c r="C3" s="1" t="s">
        <v>77</v>
      </c>
    </row>
    <row r="4" spans="1:16" x14ac:dyDescent="0.3">
      <c r="A4" s="1" t="s">
        <v>2</v>
      </c>
      <c r="B4" s="1" t="s">
        <v>78</v>
      </c>
      <c r="C4" s="4" t="s">
        <v>121</v>
      </c>
    </row>
    <row r="6" spans="1:16" x14ac:dyDescent="0.3">
      <c r="A6" s="386" t="s">
        <v>3</v>
      </c>
      <c r="B6" s="388" t="s">
        <v>4</v>
      </c>
      <c r="C6" s="388"/>
      <c r="D6" s="389" t="s">
        <v>6</v>
      </c>
      <c r="E6" s="391" t="s">
        <v>7</v>
      </c>
      <c r="F6" s="393" t="s">
        <v>8</v>
      </c>
      <c r="G6" s="393"/>
      <c r="H6" s="393"/>
      <c r="I6" s="393" t="s">
        <v>12</v>
      </c>
      <c r="J6" s="393"/>
      <c r="K6" s="393"/>
      <c r="L6" s="393"/>
      <c r="M6" s="393"/>
      <c r="N6" s="391" t="s">
        <v>17</v>
      </c>
      <c r="O6" s="391"/>
      <c r="P6" s="386" t="s">
        <v>18</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x14ac:dyDescent="0.3">
      <c r="A9" s="13">
        <v>1</v>
      </c>
      <c r="B9" s="14" t="s">
        <v>20</v>
      </c>
      <c r="C9" s="15"/>
      <c r="D9" s="16"/>
      <c r="E9" s="16"/>
      <c r="F9" s="16"/>
      <c r="G9" s="16"/>
      <c r="H9" s="16"/>
      <c r="I9" s="16"/>
      <c r="J9" s="16"/>
      <c r="K9" s="16"/>
      <c r="L9" s="16"/>
      <c r="M9" s="16"/>
      <c r="N9" s="14"/>
      <c r="O9" s="15"/>
      <c r="P9" s="16"/>
    </row>
    <row r="10" spans="1:16" x14ac:dyDescent="0.3">
      <c r="A10" s="13"/>
      <c r="B10" s="17" t="s">
        <v>57</v>
      </c>
      <c r="C10" s="15" t="s">
        <v>21</v>
      </c>
      <c r="D10" s="18">
        <v>403.56</v>
      </c>
      <c r="E10" s="16" t="s">
        <v>36</v>
      </c>
      <c r="F10" s="19">
        <v>0</v>
      </c>
      <c r="G10" s="19">
        <v>45</v>
      </c>
      <c r="H10" s="19">
        <f>SUM(F10:G10)</f>
        <v>45</v>
      </c>
      <c r="I10" s="19">
        <v>0</v>
      </c>
      <c r="J10" s="19">
        <v>10</v>
      </c>
      <c r="K10" s="19">
        <v>0</v>
      </c>
      <c r="L10" s="19">
        <v>10</v>
      </c>
      <c r="M10" s="20">
        <f>SUM(I10:L10)</f>
        <v>20</v>
      </c>
      <c r="N10" s="17" t="s">
        <v>51</v>
      </c>
      <c r="O10" s="25" t="s">
        <v>50</v>
      </c>
      <c r="P10" s="16"/>
    </row>
    <row r="11" spans="1:16" x14ac:dyDescent="0.3">
      <c r="A11" s="13"/>
      <c r="B11" s="14"/>
      <c r="C11" s="15"/>
      <c r="D11" s="18"/>
      <c r="E11" s="16" t="s">
        <v>37</v>
      </c>
      <c r="F11" s="19">
        <v>0</v>
      </c>
      <c r="G11" s="19">
        <v>325</v>
      </c>
      <c r="H11" s="19">
        <f t="shared" ref="H11:H17" si="0">SUM(F11:G11)</f>
        <v>325</v>
      </c>
      <c r="I11" s="19">
        <v>0</v>
      </c>
      <c r="J11" s="19">
        <v>0</v>
      </c>
      <c r="K11" s="19">
        <v>0</v>
      </c>
      <c r="L11" s="19">
        <v>0</v>
      </c>
      <c r="M11" s="20">
        <f t="shared" ref="M11:M17" si="1">SUM(I11:L11)</f>
        <v>0</v>
      </c>
      <c r="N11" s="17" t="s">
        <v>51</v>
      </c>
      <c r="O11" s="15" t="s">
        <v>49</v>
      </c>
      <c r="P11" s="16"/>
    </row>
    <row r="12" spans="1:16" ht="28" x14ac:dyDescent="0.3">
      <c r="A12" s="13"/>
      <c r="B12" s="14"/>
      <c r="C12" s="15"/>
      <c r="D12" s="18"/>
      <c r="E12" s="16" t="s">
        <v>38</v>
      </c>
      <c r="F12" s="19">
        <v>0</v>
      </c>
      <c r="G12" s="19">
        <v>310</v>
      </c>
      <c r="H12" s="19">
        <f t="shared" si="0"/>
        <v>310</v>
      </c>
      <c r="I12" s="19">
        <v>0</v>
      </c>
      <c r="J12" s="19">
        <v>5</v>
      </c>
      <c r="K12" s="19">
        <v>0</v>
      </c>
      <c r="L12" s="19">
        <v>0</v>
      </c>
      <c r="M12" s="20">
        <f t="shared" si="1"/>
        <v>5</v>
      </c>
      <c r="N12" s="24" t="s">
        <v>51</v>
      </c>
      <c r="O12" s="31" t="s">
        <v>48</v>
      </c>
      <c r="P12" s="16"/>
    </row>
    <row r="13" spans="1:16" ht="28" x14ac:dyDescent="0.3">
      <c r="A13" s="13"/>
      <c r="B13" s="14"/>
      <c r="C13" s="15"/>
      <c r="D13" s="18"/>
      <c r="E13" s="21" t="s">
        <v>39</v>
      </c>
      <c r="F13" s="22">
        <v>50</v>
      </c>
      <c r="G13" s="22">
        <v>0</v>
      </c>
      <c r="H13" s="22">
        <f t="shared" si="0"/>
        <v>50</v>
      </c>
      <c r="I13" s="22">
        <v>0</v>
      </c>
      <c r="J13" s="22">
        <v>0</v>
      </c>
      <c r="K13" s="22">
        <v>0</v>
      </c>
      <c r="L13" s="22">
        <v>0</v>
      </c>
      <c r="M13" s="23">
        <f t="shared" si="1"/>
        <v>0</v>
      </c>
      <c r="N13" s="24"/>
      <c r="O13" s="31"/>
      <c r="P13" s="16"/>
    </row>
    <row r="14" spans="1:16" x14ac:dyDescent="0.3">
      <c r="A14" s="13"/>
      <c r="B14" s="17" t="s">
        <v>58</v>
      </c>
      <c r="C14" s="15" t="s">
        <v>22</v>
      </c>
      <c r="D14" s="18">
        <v>498</v>
      </c>
      <c r="E14" s="16" t="s">
        <v>36</v>
      </c>
      <c r="F14" s="19">
        <v>0</v>
      </c>
      <c r="G14" s="19">
        <v>50</v>
      </c>
      <c r="H14" s="19">
        <f t="shared" si="0"/>
        <v>50</v>
      </c>
      <c r="I14" s="19">
        <v>0</v>
      </c>
      <c r="J14" s="19">
        <v>0</v>
      </c>
      <c r="K14" s="19">
        <v>0</v>
      </c>
      <c r="L14" s="19">
        <v>0</v>
      </c>
      <c r="M14" s="20">
        <f t="shared" si="1"/>
        <v>0</v>
      </c>
      <c r="N14" s="14"/>
      <c r="P14" s="16"/>
    </row>
    <row r="15" spans="1:16" x14ac:dyDescent="0.3">
      <c r="A15" s="13"/>
      <c r="B15" s="14"/>
      <c r="C15" s="15"/>
      <c r="D15" s="26"/>
      <c r="E15" s="16" t="s">
        <v>37</v>
      </c>
      <c r="F15" s="19">
        <v>0</v>
      </c>
      <c r="G15" s="19">
        <v>406</v>
      </c>
      <c r="H15" s="19">
        <f t="shared" si="0"/>
        <v>406</v>
      </c>
      <c r="I15" s="19">
        <v>0</v>
      </c>
      <c r="J15" s="19">
        <v>0</v>
      </c>
      <c r="K15" s="19">
        <v>0</v>
      </c>
      <c r="L15" s="19">
        <v>0</v>
      </c>
      <c r="M15" s="20">
        <f t="shared" si="1"/>
        <v>0</v>
      </c>
      <c r="N15" s="14"/>
      <c r="O15" s="15"/>
      <c r="P15" s="16"/>
    </row>
    <row r="16" spans="1:16" x14ac:dyDescent="0.3">
      <c r="A16" s="13"/>
      <c r="B16" s="14"/>
      <c r="C16" s="15"/>
      <c r="D16" s="26"/>
      <c r="E16" s="16" t="s">
        <v>38</v>
      </c>
      <c r="F16" s="19">
        <v>0</v>
      </c>
      <c r="G16" s="19">
        <v>537</v>
      </c>
      <c r="H16" s="19">
        <f t="shared" si="0"/>
        <v>537</v>
      </c>
      <c r="I16" s="19">
        <v>0</v>
      </c>
      <c r="J16" s="19">
        <v>0</v>
      </c>
      <c r="K16" s="19">
        <v>0</v>
      </c>
      <c r="L16" s="19">
        <v>0</v>
      </c>
      <c r="M16" s="20">
        <f t="shared" si="1"/>
        <v>0</v>
      </c>
      <c r="N16" s="14"/>
      <c r="O16" s="15"/>
      <c r="P16" s="16"/>
    </row>
    <row r="17" spans="1:16" ht="28" x14ac:dyDescent="0.3">
      <c r="A17" s="13"/>
      <c r="B17" s="14"/>
      <c r="C17" s="15"/>
      <c r="D17" s="26"/>
      <c r="E17" s="27" t="s">
        <v>39</v>
      </c>
      <c r="F17" s="22">
        <v>45</v>
      </c>
      <c r="G17" s="22">
        <v>0</v>
      </c>
      <c r="H17" s="22">
        <f t="shared" si="0"/>
        <v>45</v>
      </c>
      <c r="I17" s="22">
        <v>0</v>
      </c>
      <c r="J17" s="22">
        <v>0</v>
      </c>
      <c r="K17" s="22">
        <v>0</v>
      </c>
      <c r="L17" s="22">
        <v>0</v>
      </c>
      <c r="M17" s="23">
        <f t="shared" si="1"/>
        <v>0</v>
      </c>
      <c r="N17" s="28"/>
      <c r="O17" s="25"/>
      <c r="P17" s="29"/>
    </row>
    <row r="18" spans="1:16" x14ac:dyDescent="0.3">
      <c r="A18" s="13"/>
      <c r="B18" s="14"/>
      <c r="C18" s="15"/>
      <c r="D18" s="26"/>
      <c r="E18" s="16"/>
      <c r="F18" s="16"/>
      <c r="G18" s="16"/>
      <c r="H18" s="16"/>
      <c r="I18" s="16"/>
      <c r="J18" s="16"/>
      <c r="K18" s="16"/>
      <c r="L18" s="16"/>
      <c r="M18" s="16"/>
      <c r="N18" s="14"/>
      <c r="O18" s="15"/>
      <c r="P18" s="16"/>
    </row>
    <row r="19" spans="1:16" x14ac:dyDescent="0.3">
      <c r="A19" s="13">
        <v>2</v>
      </c>
      <c r="B19" s="14" t="s">
        <v>23</v>
      </c>
      <c r="C19" s="15"/>
      <c r="D19" s="26"/>
      <c r="E19" s="16"/>
      <c r="F19" s="16"/>
      <c r="G19" s="16"/>
      <c r="H19" s="16"/>
      <c r="I19" s="16"/>
      <c r="J19" s="16"/>
      <c r="K19" s="16"/>
      <c r="L19" s="16"/>
      <c r="M19" s="16"/>
      <c r="N19" s="14"/>
      <c r="O19" s="15"/>
      <c r="P19" s="16"/>
    </row>
    <row r="20" spans="1:16" x14ac:dyDescent="0.3">
      <c r="A20" s="13"/>
      <c r="B20" s="14" t="s">
        <v>57</v>
      </c>
      <c r="C20" s="15" t="s">
        <v>22</v>
      </c>
      <c r="D20" s="26">
        <v>198</v>
      </c>
      <c r="E20" s="16" t="s">
        <v>40</v>
      </c>
      <c r="F20" s="19">
        <v>0</v>
      </c>
      <c r="G20" s="19">
        <v>158</v>
      </c>
      <c r="H20" s="19">
        <f t="shared" ref="H20:H21" si="2">SUM(F20:G20)</f>
        <v>158</v>
      </c>
      <c r="I20" s="19">
        <v>0</v>
      </c>
      <c r="J20" s="19">
        <v>10</v>
      </c>
      <c r="K20" s="19">
        <v>0</v>
      </c>
      <c r="L20" s="19">
        <v>0</v>
      </c>
      <c r="M20" s="20">
        <f t="shared" ref="M20:M21" si="3">SUM(I20:L20)</f>
        <v>10</v>
      </c>
      <c r="N20" s="17" t="s">
        <v>51</v>
      </c>
      <c r="O20" s="396" t="s">
        <v>54</v>
      </c>
      <c r="P20" s="16"/>
    </row>
    <row r="21" spans="1:16" x14ac:dyDescent="0.3">
      <c r="A21" s="13"/>
      <c r="B21" s="14"/>
      <c r="C21" s="15"/>
      <c r="D21" s="26"/>
      <c r="E21" s="16"/>
      <c r="F21" s="19"/>
      <c r="G21" s="19">
        <v>0</v>
      </c>
      <c r="H21" s="19">
        <f t="shared" si="2"/>
        <v>0</v>
      </c>
      <c r="I21" s="19">
        <v>0</v>
      </c>
      <c r="J21" s="19">
        <v>0</v>
      </c>
      <c r="K21" s="19">
        <v>0</v>
      </c>
      <c r="L21" s="19">
        <v>0</v>
      </c>
      <c r="M21" s="20">
        <f t="shared" si="3"/>
        <v>0</v>
      </c>
      <c r="N21" s="14"/>
      <c r="O21" s="397"/>
      <c r="P21" s="16"/>
    </row>
    <row r="22" spans="1:16" x14ac:dyDescent="0.3">
      <c r="A22" s="13"/>
      <c r="B22" s="14"/>
      <c r="C22" s="15"/>
      <c r="D22" s="26"/>
      <c r="E22" s="16"/>
      <c r="F22" s="19"/>
      <c r="G22" s="19"/>
      <c r="H22" s="19"/>
      <c r="I22" s="19"/>
      <c r="J22" s="19"/>
      <c r="K22" s="19"/>
      <c r="L22" s="19"/>
      <c r="M22" s="19"/>
      <c r="N22" s="14"/>
      <c r="O22" s="15"/>
      <c r="P22" s="16"/>
    </row>
    <row r="23" spans="1:16" x14ac:dyDescent="0.3">
      <c r="A23" s="13">
        <v>3</v>
      </c>
      <c r="B23" s="14" t="s">
        <v>19</v>
      </c>
      <c r="C23" s="15"/>
      <c r="D23" s="26"/>
      <c r="E23" s="16"/>
      <c r="F23" s="19"/>
      <c r="G23" s="19"/>
      <c r="H23" s="19"/>
      <c r="I23" s="19"/>
      <c r="J23" s="19"/>
      <c r="K23" s="19"/>
      <c r="L23" s="19"/>
      <c r="M23" s="19"/>
      <c r="N23" s="14"/>
      <c r="O23" s="15"/>
      <c r="P23" s="16"/>
    </row>
    <row r="24" spans="1:16" x14ac:dyDescent="0.3">
      <c r="A24" s="13"/>
      <c r="B24" s="14" t="s">
        <v>57</v>
      </c>
      <c r="C24" s="15" t="s">
        <v>24</v>
      </c>
      <c r="D24" s="26">
        <v>1372.2</v>
      </c>
      <c r="E24" s="30" t="s">
        <v>52</v>
      </c>
      <c r="F24" s="19">
        <v>0</v>
      </c>
      <c r="G24" s="26">
        <v>137.22</v>
      </c>
      <c r="H24" s="26">
        <f>SUM(F24:G24)</f>
        <v>137.22</v>
      </c>
      <c r="I24" s="19">
        <v>0</v>
      </c>
      <c r="J24" s="19">
        <v>0</v>
      </c>
      <c r="K24" s="19">
        <v>0</v>
      </c>
      <c r="L24" s="19">
        <v>0</v>
      </c>
      <c r="M24" s="19">
        <f>SUM(I24:L24)</f>
        <v>0</v>
      </c>
      <c r="N24" s="14"/>
      <c r="O24" s="15" t="s">
        <v>50</v>
      </c>
      <c r="P24" s="16"/>
    </row>
    <row r="25" spans="1:16" x14ac:dyDescent="0.3">
      <c r="A25" s="13"/>
      <c r="B25" s="14" t="s">
        <v>58</v>
      </c>
      <c r="C25" s="15" t="s">
        <v>25</v>
      </c>
      <c r="D25" s="26">
        <v>995.2</v>
      </c>
      <c r="E25" s="30" t="s">
        <v>52</v>
      </c>
      <c r="F25" s="19">
        <v>0</v>
      </c>
      <c r="G25" s="26">
        <v>99.52</v>
      </c>
      <c r="H25" s="26">
        <f t="shared" ref="H25:H44" si="4">SUM(F25:G25)</f>
        <v>99.52</v>
      </c>
      <c r="I25" s="19">
        <v>0</v>
      </c>
      <c r="J25" s="19">
        <v>0</v>
      </c>
      <c r="K25" s="19">
        <v>0</v>
      </c>
      <c r="L25" s="19">
        <v>0</v>
      </c>
      <c r="M25" s="19">
        <f t="shared" ref="M25:M44" si="5">SUM(I25:L25)</f>
        <v>0</v>
      </c>
      <c r="N25" s="14"/>
      <c r="O25" s="15"/>
      <c r="P25" s="16"/>
    </row>
    <row r="26" spans="1:16" x14ac:dyDescent="0.3">
      <c r="A26" s="13"/>
      <c r="B26" s="14" t="s">
        <v>59</v>
      </c>
      <c r="C26" s="15" t="s">
        <v>26</v>
      </c>
      <c r="D26" s="26">
        <v>716.5</v>
      </c>
      <c r="E26" s="30" t="s">
        <v>52</v>
      </c>
      <c r="F26" s="19">
        <v>0</v>
      </c>
      <c r="G26" s="26">
        <v>72.650000000000006</v>
      </c>
      <c r="H26" s="26">
        <f t="shared" si="4"/>
        <v>72.650000000000006</v>
      </c>
      <c r="I26" s="19">
        <v>0</v>
      </c>
      <c r="J26" s="19">
        <v>0</v>
      </c>
      <c r="K26" s="19">
        <v>0</v>
      </c>
      <c r="L26" s="19">
        <v>0</v>
      </c>
      <c r="M26" s="19">
        <f t="shared" si="5"/>
        <v>0</v>
      </c>
      <c r="N26" s="14"/>
      <c r="O26" s="15"/>
      <c r="P26" s="16"/>
    </row>
    <row r="27" spans="1:16" x14ac:dyDescent="0.3">
      <c r="A27" s="13"/>
      <c r="B27" s="14" t="s">
        <v>60</v>
      </c>
      <c r="C27" s="15" t="s">
        <v>55</v>
      </c>
      <c r="D27" s="26">
        <v>955.3</v>
      </c>
      <c r="E27" s="30" t="s">
        <v>52</v>
      </c>
      <c r="F27" s="19">
        <v>0</v>
      </c>
      <c r="G27" s="26">
        <v>95</v>
      </c>
      <c r="H27" s="26">
        <f t="shared" si="4"/>
        <v>95</v>
      </c>
      <c r="I27" s="19">
        <v>0</v>
      </c>
      <c r="J27" s="19">
        <v>0</v>
      </c>
      <c r="K27" s="19">
        <v>0</v>
      </c>
      <c r="L27" s="19">
        <v>0</v>
      </c>
      <c r="M27" s="19">
        <f t="shared" si="5"/>
        <v>0</v>
      </c>
      <c r="N27" s="14"/>
      <c r="O27" s="15"/>
      <c r="P27" s="16"/>
    </row>
    <row r="28" spans="1:16" x14ac:dyDescent="0.3">
      <c r="A28" s="13"/>
      <c r="B28" s="14" t="s">
        <v>61</v>
      </c>
      <c r="C28" s="15" t="s">
        <v>27</v>
      </c>
      <c r="D28" s="26">
        <v>901.2</v>
      </c>
      <c r="E28" s="30" t="s">
        <v>52</v>
      </c>
      <c r="F28" s="19">
        <v>0</v>
      </c>
      <c r="G28" s="26">
        <v>90</v>
      </c>
      <c r="H28" s="26">
        <f t="shared" si="4"/>
        <v>90</v>
      </c>
      <c r="I28" s="19">
        <v>0</v>
      </c>
      <c r="J28" s="19">
        <v>0</v>
      </c>
      <c r="K28" s="19">
        <v>0</v>
      </c>
      <c r="L28" s="19">
        <v>0</v>
      </c>
      <c r="M28" s="19">
        <f t="shared" si="5"/>
        <v>0</v>
      </c>
      <c r="N28" s="14"/>
      <c r="O28" s="15"/>
      <c r="P28" s="16"/>
    </row>
    <row r="29" spans="1:16" x14ac:dyDescent="0.3">
      <c r="A29" s="13"/>
      <c r="B29" s="14" t="s">
        <v>62</v>
      </c>
      <c r="C29" s="15" t="s">
        <v>28</v>
      </c>
      <c r="D29" s="26">
        <v>871</v>
      </c>
      <c r="E29" s="30" t="s">
        <v>52</v>
      </c>
      <c r="F29" s="19">
        <v>0</v>
      </c>
      <c r="G29" s="26">
        <v>87</v>
      </c>
      <c r="H29" s="26">
        <f t="shared" si="4"/>
        <v>87</v>
      </c>
      <c r="I29" s="19">
        <v>0</v>
      </c>
      <c r="J29" s="19">
        <v>0</v>
      </c>
      <c r="K29" s="19">
        <v>0</v>
      </c>
      <c r="L29" s="19">
        <v>0</v>
      </c>
      <c r="M29" s="19">
        <f t="shared" si="5"/>
        <v>0</v>
      </c>
      <c r="N29" s="14"/>
      <c r="O29" s="15"/>
      <c r="P29" s="16"/>
    </row>
    <row r="30" spans="1:16" x14ac:dyDescent="0.3">
      <c r="A30" s="13"/>
      <c r="B30" s="14" t="s">
        <v>63</v>
      </c>
      <c r="C30" s="15" t="s">
        <v>29</v>
      </c>
      <c r="D30" s="26">
        <v>1516</v>
      </c>
      <c r="E30" s="30" t="s">
        <v>52</v>
      </c>
      <c r="F30" s="19">
        <v>0</v>
      </c>
      <c r="G30" s="26">
        <v>151.5</v>
      </c>
      <c r="H30" s="26">
        <f t="shared" si="4"/>
        <v>151.5</v>
      </c>
      <c r="I30" s="19">
        <v>0</v>
      </c>
      <c r="J30" s="19">
        <v>0</v>
      </c>
      <c r="K30" s="19">
        <v>5</v>
      </c>
      <c r="L30" s="19">
        <v>0</v>
      </c>
      <c r="M30" s="19">
        <f t="shared" si="5"/>
        <v>5</v>
      </c>
      <c r="N30" s="14"/>
      <c r="O30" s="15"/>
      <c r="P30" s="16"/>
    </row>
    <row r="31" spans="1:16" x14ac:dyDescent="0.3">
      <c r="A31" s="13"/>
      <c r="B31" s="14" t="s">
        <v>64</v>
      </c>
      <c r="C31" s="15" t="s">
        <v>56</v>
      </c>
      <c r="D31" s="26">
        <v>97.2</v>
      </c>
      <c r="E31" s="30" t="s">
        <v>52</v>
      </c>
      <c r="F31" s="19">
        <v>0</v>
      </c>
      <c r="G31" s="26">
        <v>9.5</v>
      </c>
      <c r="H31" s="26">
        <f t="shared" si="4"/>
        <v>9.5</v>
      </c>
      <c r="I31" s="19">
        <v>0</v>
      </c>
      <c r="J31" s="19">
        <v>0</v>
      </c>
      <c r="K31" s="19">
        <v>0</v>
      </c>
      <c r="L31" s="19">
        <v>0</v>
      </c>
      <c r="M31" s="19">
        <f t="shared" si="5"/>
        <v>0</v>
      </c>
      <c r="N31" s="14"/>
      <c r="O31" s="15"/>
      <c r="P31" s="16"/>
    </row>
    <row r="32" spans="1:16" x14ac:dyDescent="0.3">
      <c r="A32" s="13"/>
      <c r="B32" s="14" t="s">
        <v>65</v>
      </c>
      <c r="C32" s="15" t="s">
        <v>30</v>
      </c>
      <c r="D32" s="26">
        <v>1502.3</v>
      </c>
      <c r="E32" s="30" t="s">
        <v>52</v>
      </c>
      <c r="F32" s="19">
        <v>0</v>
      </c>
      <c r="G32" s="26">
        <v>150</v>
      </c>
      <c r="H32" s="26">
        <f t="shared" si="4"/>
        <v>150</v>
      </c>
      <c r="I32" s="19">
        <v>0</v>
      </c>
      <c r="J32" s="19">
        <v>0</v>
      </c>
      <c r="K32" s="19">
        <v>0</v>
      </c>
      <c r="L32" s="19">
        <v>0</v>
      </c>
      <c r="M32" s="19">
        <f t="shared" si="5"/>
        <v>0</v>
      </c>
      <c r="N32" s="14"/>
      <c r="O32" s="15"/>
      <c r="P32" s="16"/>
    </row>
    <row r="33" spans="1:16" x14ac:dyDescent="0.3">
      <c r="A33" s="13"/>
      <c r="B33" s="14" t="s">
        <v>66</v>
      </c>
      <c r="C33" s="15" t="s">
        <v>31</v>
      </c>
      <c r="D33" s="26">
        <v>1518</v>
      </c>
      <c r="E33" s="30" t="s">
        <v>52</v>
      </c>
      <c r="F33" s="19">
        <v>0</v>
      </c>
      <c r="G33" s="26">
        <v>151</v>
      </c>
      <c r="H33" s="26">
        <f t="shared" si="4"/>
        <v>151</v>
      </c>
      <c r="I33" s="19">
        <v>0</v>
      </c>
      <c r="J33" s="19">
        <v>0</v>
      </c>
      <c r="K33" s="19">
        <v>0</v>
      </c>
      <c r="L33" s="19">
        <v>0</v>
      </c>
      <c r="M33" s="19">
        <f t="shared" si="5"/>
        <v>0</v>
      </c>
      <c r="N33" s="14"/>
      <c r="O33" s="15"/>
      <c r="P33" s="16"/>
    </row>
    <row r="34" spans="1:16" x14ac:dyDescent="0.3">
      <c r="A34" s="13"/>
      <c r="B34" s="14" t="s">
        <v>67</v>
      </c>
      <c r="C34" s="15" t="s">
        <v>32</v>
      </c>
      <c r="D34" s="26">
        <v>997.4</v>
      </c>
      <c r="E34" s="30" t="s">
        <v>52</v>
      </c>
      <c r="F34" s="19">
        <v>0</v>
      </c>
      <c r="G34" s="26">
        <v>99.5</v>
      </c>
      <c r="H34" s="26">
        <f t="shared" si="4"/>
        <v>99.5</v>
      </c>
      <c r="I34" s="19">
        <v>0</v>
      </c>
      <c r="J34" s="19">
        <v>0</v>
      </c>
      <c r="K34" s="19">
        <v>0</v>
      </c>
      <c r="L34" s="19">
        <v>0</v>
      </c>
      <c r="M34" s="19">
        <f t="shared" si="5"/>
        <v>0</v>
      </c>
      <c r="N34" s="14"/>
      <c r="O34" s="15"/>
      <c r="P34" s="16"/>
    </row>
    <row r="35" spans="1:16" x14ac:dyDescent="0.3">
      <c r="A35" s="13"/>
      <c r="B35" s="14" t="s">
        <v>68</v>
      </c>
      <c r="C35" s="15" t="s">
        <v>33</v>
      </c>
      <c r="D35" s="26">
        <v>1304</v>
      </c>
      <c r="E35" s="30" t="s">
        <v>52</v>
      </c>
      <c r="F35" s="19">
        <v>0</v>
      </c>
      <c r="G35" s="26">
        <v>129</v>
      </c>
      <c r="H35" s="26">
        <f t="shared" si="4"/>
        <v>129</v>
      </c>
      <c r="I35" s="19">
        <v>0</v>
      </c>
      <c r="J35" s="19">
        <v>0</v>
      </c>
      <c r="K35" s="19">
        <v>0</v>
      </c>
      <c r="L35" s="19">
        <v>0</v>
      </c>
      <c r="M35" s="19">
        <f t="shared" si="5"/>
        <v>0</v>
      </c>
      <c r="N35" s="14"/>
      <c r="O35" s="15"/>
      <c r="P35" s="16"/>
    </row>
    <row r="36" spans="1:16" x14ac:dyDescent="0.3">
      <c r="A36" s="13"/>
      <c r="B36" s="14" t="s">
        <v>69</v>
      </c>
      <c r="C36" s="15" t="s">
        <v>34</v>
      </c>
      <c r="D36" s="26">
        <v>1704</v>
      </c>
      <c r="E36" s="30" t="s">
        <v>52</v>
      </c>
      <c r="F36" s="19">
        <v>0</v>
      </c>
      <c r="G36" s="26">
        <v>170</v>
      </c>
      <c r="H36" s="26">
        <f t="shared" si="4"/>
        <v>170</v>
      </c>
      <c r="I36" s="19">
        <v>0</v>
      </c>
      <c r="J36" s="19">
        <v>0</v>
      </c>
      <c r="K36" s="19">
        <v>0</v>
      </c>
      <c r="L36" s="19">
        <v>0</v>
      </c>
      <c r="M36" s="19">
        <f t="shared" si="5"/>
        <v>0</v>
      </c>
      <c r="N36" s="14"/>
      <c r="O36" s="15"/>
      <c r="P36" s="16"/>
    </row>
    <row r="37" spans="1:16" x14ac:dyDescent="0.3">
      <c r="A37" s="13"/>
      <c r="B37" s="14" t="s">
        <v>70</v>
      </c>
      <c r="C37" s="15" t="s">
        <v>35</v>
      </c>
      <c r="D37" s="26">
        <v>1557</v>
      </c>
      <c r="E37" s="30" t="s">
        <v>52</v>
      </c>
      <c r="F37" s="19">
        <v>0</v>
      </c>
      <c r="G37" s="26">
        <v>154</v>
      </c>
      <c r="H37" s="26">
        <f t="shared" si="4"/>
        <v>154</v>
      </c>
      <c r="I37" s="19">
        <v>0</v>
      </c>
      <c r="J37" s="19">
        <v>0</v>
      </c>
      <c r="K37" s="19">
        <v>0</v>
      </c>
      <c r="L37" s="19">
        <v>0</v>
      </c>
      <c r="M37" s="19">
        <f t="shared" si="5"/>
        <v>0</v>
      </c>
      <c r="N37" s="14"/>
      <c r="O37" s="15"/>
      <c r="P37" s="16"/>
    </row>
    <row r="38" spans="1:16" x14ac:dyDescent="0.3">
      <c r="A38" s="13"/>
      <c r="B38" s="14" t="s">
        <v>71</v>
      </c>
      <c r="C38" s="15" t="s">
        <v>21</v>
      </c>
      <c r="D38" s="26">
        <v>1669</v>
      </c>
      <c r="E38" s="30" t="s">
        <v>52</v>
      </c>
      <c r="F38" s="19">
        <v>0</v>
      </c>
      <c r="G38" s="26">
        <v>165</v>
      </c>
      <c r="H38" s="26">
        <f t="shared" si="4"/>
        <v>165</v>
      </c>
      <c r="I38" s="19">
        <v>0</v>
      </c>
      <c r="J38" s="19">
        <v>0</v>
      </c>
      <c r="K38" s="19">
        <v>0</v>
      </c>
      <c r="L38" s="19">
        <v>0</v>
      </c>
      <c r="M38" s="19">
        <f t="shared" si="5"/>
        <v>0</v>
      </c>
      <c r="N38" s="14"/>
      <c r="O38" s="15"/>
      <c r="P38" s="16"/>
    </row>
    <row r="39" spans="1:16" x14ac:dyDescent="0.3">
      <c r="A39" s="13"/>
      <c r="B39" s="14" t="s">
        <v>72</v>
      </c>
      <c r="C39" s="15" t="s">
        <v>42</v>
      </c>
      <c r="D39" s="26">
        <v>773</v>
      </c>
      <c r="E39" s="30" t="s">
        <v>52</v>
      </c>
      <c r="F39" s="19">
        <v>0</v>
      </c>
      <c r="G39" s="26">
        <v>75</v>
      </c>
      <c r="H39" s="26">
        <f t="shared" si="4"/>
        <v>75</v>
      </c>
      <c r="I39" s="19">
        <v>0</v>
      </c>
      <c r="J39" s="19">
        <v>0</v>
      </c>
      <c r="K39" s="19">
        <v>0</v>
      </c>
      <c r="L39" s="19">
        <v>0</v>
      </c>
      <c r="M39" s="19">
        <f t="shared" si="5"/>
        <v>0</v>
      </c>
      <c r="N39" s="14"/>
      <c r="O39" s="15"/>
      <c r="P39" s="16"/>
    </row>
    <row r="40" spans="1:16" x14ac:dyDescent="0.3">
      <c r="A40" s="13"/>
      <c r="B40" s="14"/>
      <c r="C40" s="15"/>
      <c r="D40" s="26"/>
      <c r="E40" s="16" t="s">
        <v>45</v>
      </c>
      <c r="F40" s="19">
        <v>0</v>
      </c>
      <c r="G40" s="26">
        <v>65</v>
      </c>
      <c r="H40" s="26">
        <f t="shared" si="4"/>
        <v>65</v>
      </c>
      <c r="I40" s="19">
        <v>0</v>
      </c>
      <c r="J40" s="19">
        <v>0</v>
      </c>
      <c r="K40" s="19">
        <v>0</v>
      </c>
      <c r="L40" s="19">
        <v>0</v>
      </c>
      <c r="M40" s="19">
        <f t="shared" si="5"/>
        <v>0</v>
      </c>
      <c r="N40" s="14"/>
      <c r="O40" s="15"/>
      <c r="P40" s="16"/>
    </row>
    <row r="41" spans="1:16" x14ac:dyDescent="0.3">
      <c r="A41" s="13"/>
      <c r="B41" s="14" t="s">
        <v>73</v>
      </c>
      <c r="C41" s="15" t="s">
        <v>22</v>
      </c>
      <c r="D41" s="26">
        <v>1146</v>
      </c>
      <c r="E41" s="30" t="s">
        <v>52</v>
      </c>
      <c r="F41" s="19">
        <v>0</v>
      </c>
      <c r="G41" s="26">
        <v>114</v>
      </c>
      <c r="H41" s="26">
        <f t="shared" si="4"/>
        <v>114</v>
      </c>
      <c r="I41" s="19">
        <v>0</v>
      </c>
      <c r="J41" s="19">
        <v>0</v>
      </c>
      <c r="K41" s="19">
        <v>0</v>
      </c>
      <c r="L41" s="19">
        <v>0</v>
      </c>
      <c r="M41" s="19">
        <f t="shared" si="5"/>
        <v>0</v>
      </c>
      <c r="N41" s="14"/>
      <c r="O41" s="15"/>
      <c r="P41" s="16"/>
    </row>
    <row r="42" spans="1:16" x14ac:dyDescent="0.3">
      <c r="A42" s="13"/>
      <c r="B42" s="14"/>
      <c r="C42" s="15"/>
      <c r="D42" s="26"/>
      <c r="E42" s="16" t="s">
        <v>45</v>
      </c>
      <c r="F42" s="19">
        <v>0</v>
      </c>
      <c r="G42" s="26">
        <v>55</v>
      </c>
      <c r="H42" s="26">
        <f t="shared" si="4"/>
        <v>55</v>
      </c>
      <c r="I42" s="19">
        <v>0</v>
      </c>
      <c r="J42" s="19">
        <v>0</v>
      </c>
      <c r="K42" s="19">
        <v>0</v>
      </c>
      <c r="L42" s="19">
        <v>0</v>
      </c>
      <c r="M42" s="19">
        <f t="shared" si="5"/>
        <v>0</v>
      </c>
      <c r="N42" s="14"/>
      <c r="O42" s="15"/>
      <c r="P42" s="16"/>
    </row>
    <row r="43" spans="1:16" x14ac:dyDescent="0.3">
      <c r="A43" s="13"/>
      <c r="B43" s="14" t="s">
        <v>74</v>
      </c>
      <c r="C43" s="15" t="s">
        <v>43</v>
      </c>
      <c r="D43" s="26">
        <v>1189</v>
      </c>
      <c r="E43" s="30" t="s">
        <v>52</v>
      </c>
      <c r="F43" s="19">
        <v>0</v>
      </c>
      <c r="G43" s="26">
        <v>115</v>
      </c>
      <c r="H43" s="26">
        <f t="shared" si="4"/>
        <v>115</v>
      </c>
      <c r="I43" s="19">
        <v>0</v>
      </c>
      <c r="J43" s="19">
        <v>0</v>
      </c>
      <c r="K43" s="19">
        <v>0</v>
      </c>
      <c r="L43" s="19">
        <v>0</v>
      </c>
      <c r="M43" s="19">
        <f t="shared" si="5"/>
        <v>0</v>
      </c>
      <c r="N43" s="14"/>
      <c r="O43" s="15"/>
      <c r="P43" s="16"/>
    </row>
    <row r="44" spans="1:16" x14ac:dyDescent="0.3">
      <c r="A44" s="13"/>
      <c r="B44" s="14" t="s">
        <v>75</v>
      </c>
      <c r="C44" s="15" t="s">
        <v>44</v>
      </c>
      <c r="D44" s="26">
        <v>1391</v>
      </c>
      <c r="E44" s="30" t="s">
        <v>52</v>
      </c>
      <c r="F44" s="19">
        <v>0</v>
      </c>
      <c r="G44" s="26">
        <v>136</v>
      </c>
      <c r="H44" s="26">
        <f t="shared" si="4"/>
        <v>136</v>
      </c>
      <c r="I44" s="19">
        <v>0</v>
      </c>
      <c r="J44" s="19">
        <v>0</v>
      </c>
      <c r="K44" s="19">
        <v>0</v>
      </c>
      <c r="L44" s="19">
        <v>0</v>
      </c>
      <c r="M44" s="19">
        <f t="shared" si="5"/>
        <v>0</v>
      </c>
      <c r="N44" s="14"/>
      <c r="O44" s="15"/>
      <c r="P44" s="16"/>
    </row>
    <row r="45" spans="1:16" x14ac:dyDescent="0.3">
      <c r="A45" s="13"/>
      <c r="B45" s="14"/>
      <c r="C45" s="15"/>
      <c r="D45" s="16"/>
      <c r="E45" s="16"/>
      <c r="F45" s="19"/>
      <c r="G45" s="19"/>
      <c r="H45" s="19"/>
      <c r="I45" s="19"/>
      <c r="J45" s="19"/>
      <c r="K45" s="19"/>
      <c r="L45" s="19"/>
      <c r="M45" s="19"/>
      <c r="N45" s="14"/>
      <c r="O45" s="15"/>
      <c r="P45" s="16"/>
    </row>
    <row r="46" spans="1:16" x14ac:dyDescent="0.3">
      <c r="A46" s="13">
        <v>4</v>
      </c>
      <c r="B46" s="14" t="s">
        <v>46</v>
      </c>
      <c r="C46" s="15"/>
      <c r="D46" s="26"/>
      <c r="E46" s="16"/>
      <c r="F46" s="19"/>
      <c r="G46" s="19"/>
      <c r="H46" s="19"/>
      <c r="I46" s="19"/>
      <c r="J46" s="19"/>
      <c r="K46" s="19"/>
      <c r="L46" s="19"/>
      <c r="M46" s="19"/>
      <c r="N46" s="14"/>
      <c r="O46" s="15"/>
      <c r="P46" s="16"/>
    </row>
    <row r="47" spans="1:16" x14ac:dyDescent="0.3">
      <c r="A47" s="13"/>
      <c r="B47" s="14" t="s">
        <v>57</v>
      </c>
      <c r="C47" s="15" t="s">
        <v>29</v>
      </c>
      <c r="D47" s="26">
        <v>175</v>
      </c>
      <c r="E47" s="16" t="s">
        <v>76</v>
      </c>
      <c r="F47" s="26">
        <v>10</v>
      </c>
      <c r="G47" s="19">
        <v>0</v>
      </c>
      <c r="H47" s="26">
        <f>SUM(F47:G47)</f>
        <v>10</v>
      </c>
      <c r="I47" s="19">
        <v>0</v>
      </c>
      <c r="J47" s="19">
        <v>0</v>
      </c>
      <c r="K47" s="19">
        <v>10</v>
      </c>
      <c r="L47" s="19">
        <v>0</v>
      </c>
      <c r="M47" s="19">
        <f>SUM(I47:L47)</f>
        <v>10</v>
      </c>
      <c r="N47" s="14"/>
      <c r="O47" s="15" t="s">
        <v>93</v>
      </c>
      <c r="P47" s="16"/>
    </row>
    <row r="48" spans="1:16" x14ac:dyDescent="0.3">
      <c r="A48" s="13"/>
      <c r="B48" s="14" t="s">
        <v>58</v>
      </c>
      <c r="C48" s="15" t="s">
        <v>33</v>
      </c>
      <c r="D48" s="26">
        <v>270</v>
      </c>
      <c r="E48" s="16" t="s">
        <v>53</v>
      </c>
      <c r="F48" s="26">
        <v>12</v>
      </c>
      <c r="G48" s="19">
        <v>0</v>
      </c>
      <c r="H48" s="26">
        <f t="shared" ref="H48:H52" si="6">SUM(F48:G48)</f>
        <v>12</v>
      </c>
      <c r="I48" s="19">
        <v>0</v>
      </c>
      <c r="J48" s="19">
        <v>0</v>
      </c>
      <c r="K48" s="19">
        <v>11</v>
      </c>
      <c r="L48" s="19">
        <v>0</v>
      </c>
      <c r="M48" s="19">
        <f t="shared" ref="M48:M52" si="7">SUM(I48:L48)</f>
        <v>11</v>
      </c>
      <c r="N48" s="14"/>
      <c r="O48" s="15" t="s">
        <v>94</v>
      </c>
      <c r="P48" s="16"/>
    </row>
    <row r="49" spans="1:16" x14ac:dyDescent="0.3">
      <c r="A49" s="13"/>
      <c r="B49" s="14" t="s">
        <v>59</v>
      </c>
      <c r="C49" s="15" t="s">
        <v>42</v>
      </c>
      <c r="D49" s="26">
        <v>798.93</v>
      </c>
      <c r="E49" s="16"/>
      <c r="F49" s="26">
        <v>69</v>
      </c>
      <c r="G49" s="19">
        <v>0</v>
      </c>
      <c r="H49" s="26">
        <f t="shared" si="6"/>
        <v>69</v>
      </c>
      <c r="I49" s="19">
        <v>0</v>
      </c>
      <c r="J49" s="19">
        <v>0</v>
      </c>
      <c r="K49" s="19">
        <v>0</v>
      </c>
      <c r="L49" s="19">
        <v>0</v>
      </c>
      <c r="M49" s="19">
        <f t="shared" si="7"/>
        <v>0</v>
      </c>
      <c r="N49" s="14"/>
      <c r="O49" s="15"/>
      <c r="P49" s="16"/>
    </row>
    <row r="50" spans="1:16" x14ac:dyDescent="0.3">
      <c r="A50" s="13"/>
      <c r="B50" s="14" t="s">
        <v>60</v>
      </c>
      <c r="C50" s="15" t="s">
        <v>21</v>
      </c>
      <c r="D50" s="26">
        <v>1086.55</v>
      </c>
      <c r="E50" s="16"/>
      <c r="F50" s="26">
        <v>93</v>
      </c>
      <c r="G50" s="19">
        <v>0</v>
      </c>
      <c r="H50" s="26">
        <f t="shared" si="6"/>
        <v>93</v>
      </c>
      <c r="I50" s="19">
        <v>0</v>
      </c>
      <c r="J50" s="19">
        <v>0</v>
      </c>
      <c r="K50" s="19">
        <v>0</v>
      </c>
      <c r="L50" s="19">
        <v>0</v>
      </c>
      <c r="M50" s="19">
        <f t="shared" si="7"/>
        <v>0</v>
      </c>
      <c r="N50" s="14"/>
      <c r="O50" s="15"/>
      <c r="P50" s="16"/>
    </row>
    <row r="51" spans="1:16" x14ac:dyDescent="0.3">
      <c r="A51" s="16"/>
      <c r="B51" s="14" t="s">
        <v>61</v>
      </c>
      <c r="C51" s="15" t="s">
        <v>22</v>
      </c>
      <c r="D51" s="26">
        <v>1084.55</v>
      </c>
      <c r="E51" s="16"/>
      <c r="F51" s="26">
        <v>100</v>
      </c>
      <c r="G51" s="19">
        <v>0</v>
      </c>
      <c r="H51" s="26">
        <f t="shared" si="6"/>
        <v>100</v>
      </c>
      <c r="I51" s="19">
        <v>0</v>
      </c>
      <c r="J51" s="19">
        <v>10</v>
      </c>
      <c r="K51" s="19">
        <v>0</v>
      </c>
      <c r="L51" s="19">
        <v>0</v>
      </c>
      <c r="M51" s="19">
        <f t="shared" si="7"/>
        <v>10</v>
      </c>
      <c r="N51" s="14"/>
      <c r="O51" s="15"/>
      <c r="P51" s="16"/>
    </row>
    <row r="52" spans="1:16" x14ac:dyDescent="0.3">
      <c r="A52" s="16"/>
      <c r="B52" s="14" t="s">
        <v>62</v>
      </c>
      <c r="C52" s="15" t="s">
        <v>43</v>
      </c>
      <c r="D52" s="26">
        <v>33</v>
      </c>
      <c r="E52" s="16"/>
      <c r="F52" s="26">
        <f>11/100*D52</f>
        <v>3.63</v>
      </c>
      <c r="G52" s="19">
        <v>0</v>
      </c>
      <c r="H52" s="26">
        <f t="shared" si="6"/>
        <v>3.63</v>
      </c>
      <c r="I52" s="19">
        <v>0</v>
      </c>
      <c r="J52" s="19">
        <v>0</v>
      </c>
      <c r="K52" s="19">
        <v>0</v>
      </c>
      <c r="L52" s="19">
        <v>0</v>
      </c>
      <c r="M52" s="19">
        <f t="shared" si="7"/>
        <v>0</v>
      </c>
      <c r="N52" s="14"/>
      <c r="O52" s="15"/>
      <c r="P52" s="16"/>
    </row>
    <row r="53" spans="1:16" ht="8.25" customHeight="1" x14ac:dyDescent="0.3">
      <c r="A53" s="6"/>
      <c r="B53" s="9"/>
      <c r="C53" s="11"/>
      <c r="D53" s="6"/>
      <c r="E53" s="6"/>
      <c r="F53" s="7"/>
      <c r="G53" s="7"/>
      <c r="H53" s="7"/>
      <c r="I53" s="7"/>
      <c r="J53" s="7"/>
      <c r="K53" s="7"/>
      <c r="L53" s="7"/>
      <c r="M53" s="7"/>
      <c r="N53" s="9"/>
      <c r="O53" s="11"/>
      <c r="P53" s="6"/>
    </row>
    <row r="54" spans="1:16" x14ac:dyDescent="0.3">
      <c r="F54" s="2"/>
      <c r="G54" s="2"/>
      <c r="H54" s="2"/>
      <c r="I54" s="2"/>
      <c r="J54" s="2"/>
      <c r="K54" s="2"/>
      <c r="L54" s="2"/>
      <c r="M54" s="2"/>
    </row>
  </sheetData>
  <mergeCells count="11">
    <mergeCell ref="A1:P1"/>
    <mergeCell ref="A6:A7"/>
    <mergeCell ref="B6:C6"/>
    <mergeCell ref="D6:D7"/>
    <mergeCell ref="E6:E7"/>
    <mergeCell ref="F6:H6"/>
    <mergeCell ref="I6:M6"/>
    <mergeCell ref="N6:O7"/>
    <mergeCell ref="P6:P7"/>
    <mergeCell ref="B7:C7"/>
    <mergeCell ref="O20:O21"/>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64"/>
  <sheetViews>
    <sheetView topLeftCell="A61" workbookViewId="0">
      <selection activeCell="A65" sqref="A65:XFD77"/>
    </sheetView>
  </sheetViews>
  <sheetFormatPr defaultColWidth="9.1796875" defaultRowHeight="14" x14ac:dyDescent="0.3"/>
  <cols>
    <col min="1" max="1" width="9.1796875" style="1"/>
    <col min="2" max="2" width="2.1796875" style="1" customWidth="1"/>
    <col min="3" max="3" width="18.81640625" style="1" bestFit="1" customWidth="1"/>
    <col min="4" max="4" width="13.54296875" style="1" customWidth="1"/>
    <col min="5" max="5" width="29" style="1" customWidth="1"/>
    <col min="6" max="6" width="7.54296875" style="1" bestFit="1" customWidth="1"/>
    <col min="7" max="7" width="8.81640625" style="1" customWidth="1"/>
    <col min="8" max="8" width="7.54296875" style="1" bestFit="1" customWidth="1"/>
    <col min="9" max="9" width="6.453125" style="1" bestFit="1" customWidth="1"/>
    <col min="10" max="10" width="6.81640625" style="1" bestFit="1" customWidth="1"/>
    <col min="11" max="11" width="10" style="1" bestFit="1" customWidth="1"/>
    <col min="12" max="12" width="5.54296875" style="1" bestFit="1" customWidth="1"/>
    <col min="13" max="13" width="6.81640625" style="1" bestFit="1" customWidth="1"/>
    <col min="14" max="14" width="2.1796875" style="1" customWidth="1"/>
    <col min="15" max="15" width="23.54296875" style="1" customWidth="1"/>
    <col min="16" max="16" width="11.54296875" style="1" customWidth="1"/>
    <col min="17" max="16384" width="9.1796875" style="1"/>
  </cols>
  <sheetData>
    <row r="1" spans="1:16" x14ac:dyDescent="0.3">
      <c r="A1" s="385" t="s">
        <v>0</v>
      </c>
      <c r="B1" s="385"/>
      <c r="C1" s="385"/>
      <c r="D1" s="385"/>
      <c r="E1" s="385"/>
      <c r="F1" s="385"/>
      <c r="G1" s="385"/>
      <c r="H1" s="385"/>
      <c r="I1" s="385"/>
      <c r="J1" s="385"/>
      <c r="K1" s="385"/>
      <c r="L1" s="385"/>
      <c r="M1" s="385"/>
      <c r="N1" s="385"/>
      <c r="O1" s="385"/>
      <c r="P1" s="385"/>
    </row>
    <row r="3" spans="1:16" x14ac:dyDescent="0.3">
      <c r="A3" s="1" t="s">
        <v>1</v>
      </c>
      <c r="B3" s="1" t="s">
        <v>78</v>
      </c>
      <c r="C3" s="1" t="s">
        <v>77</v>
      </c>
    </row>
    <row r="4" spans="1:16" x14ac:dyDescent="0.3">
      <c r="A4" s="1" t="s">
        <v>2</v>
      </c>
      <c r="B4" s="1" t="s">
        <v>78</v>
      </c>
      <c r="C4" s="4" t="s">
        <v>95</v>
      </c>
    </row>
    <row r="6" spans="1:16" x14ac:dyDescent="0.3">
      <c r="A6" s="386" t="s">
        <v>3</v>
      </c>
      <c r="B6" s="388" t="s">
        <v>4</v>
      </c>
      <c r="C6" s="388"/>
      <c r="D6" s="389" t="s">
        <v>6</v>
      </c>
      <c r="E6" s="391" t="s">
        <v>7</v>
      </c>
      <c r="F6" s="393" t="s">
        <v>8</v>
      </c>
      <c r="G6" s="393"/>
      <c r="H6" s="393"/>
      <c r="I6" s="393" t="s">
        <v>12</v>
      </c>
      <c r="J6" s="393"/>
      <c r="K6" s="393"/>
      <c r="L6" s="393"/>
      <c r="M6" s="393"/>
      <c r="N6" s="391" t="s">
        <v>17</v>
      </c>
      <c r="O6" s="391"/>
      <c r="P6" s="386" t="s">
        <v>18</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ht="14.25" customHeight="1" x14ac:dyDescent="0.3">
      <c r="A9" s="13">
        <v>1</v>
      </c>
      <c r="B9" s="14" t="s">
        <v>20</v>
      </c>
      <c r="C9" s="15"/>
      <c r="D9" s="16"/>
      <c r="E9" s="16"/>
      <c r="F9" s="16"/>
      <c r="G9" s="16"/>
      <c r="H9" s="16"/>
      <c r="I9" s="16"/>
      <c r="J9" s="16"/>
      <c r="K9" s="16"/>
      <c r="L9" s="16"/>
      <c r="M9" s="16"/>
      <c r="N9" s="14"/>
      <c r="O9" s="15"/>
      <c r="P9" s="16"/>
    </row>
    <row r="10" spans="1:16" ht="14.25" customHeight="1" x14ac:dyDescent="0.3">
      <c r="A10" s="13"/>
      <c r="B10" s="17" t="s">
        <v>57</v>
      </c>
      <c r="C10" s="15" t="s">
        <v>21</v>
      </c>
      <c r="D10" s="18">
        <v>403.56</v>
      </c>
      <c r="E10" s="16" t="s">
        <v>36</v>
      </c>
      <c r="F10" s="19">
        <v>0</v>
      </c>
      <c r="G10" s="19">
        <v>50</v>
      </c>
      <c r="H10" s="19">
        <f>SUM(F10:G10)</f>
        <v>50</v>
      </c>
      <c r="I10" s="19">
        <v>0</v>
      </c>
      <c r="J10" s="19">
        <v>10</v>
      </c>
      <c r="K10" s="19">
        <v>0</v>
      </c>
      <c r="L10" s="19">
        <v>10</v>
      </c>
      <c r="M10" s="20">
        <f>SUM(I10:L10)</f>
        <v>20</v>
      </c>
      <c r="N10" s="17" t="s">
        <v>51</v>
      </c>
      <c r="O10" s="15" t="s">
        <v>140</v>
      </c>
      <c r="P10" s="16"/>
    </row>
    <row r="11" spans="1:16" ht="14.25" customHeight="1" x14ac:dyDescent="0.3">
      <c r="A11" s="13"/>
      <c r="B11" s="14"/>
      <c r="C11" s="15"/>
      <c r="D11" s="18"/>
      <c r="E11" s="16" t="s">
        <v>37</v>
      </c>
      <c r="F11" s="19">
        <v>0</v>
      </c>
      <c r="G11" s="19">
        <v>325</v>
      </c>
      <c r="H11" s="19">
        <f t="shared" ref="H11:H17" si="0">SUM(F11:G11)</f>
        <v>325</v>
      </c>
      <c r="I11" s="19">
        <v>0</v>
      </c>
      <c r="J11" s="19">
        <v>0</v>
      </c>
      <c r="K11" s="19">
        <v>0</v>
      </c>
      <c r="L11" s="19">
        <v>0</v>
      </c>
      <c r="M11" s="20">
        <f t="shared" ref="M11:M17" si="1">SUM(I11:L11)</f>
        <v>0</v>
      </c>
      <c r="N11" s="17" t="s">
        <v>51</v>
      </c>
      <c r="O11" s="25" t="s">
        <v>50</v>
      </c>
      <c r="P11" s="16"/>
    </row>
    <row r="12" spans="1:16" ht="14.25" customHeight="1" x14ac:dyDescent="0.3">
      <c r="A12" s="13"/>
      <c r="B12" s="14"/>
      <c r="C12" s="15"/>
      <c r="D12" s="18"/>
      <c r="E12" s="16" t="s">
        <v>38</v>
      </c>
      <c r="F12" s="19">
        <v>0</v>
      </c>
      <c r="G12" s="19">
        <v>310</v>
      </c>
      <c r="H12" s="19">
        <f t="shared" si="0"/>
        <v>310</v>
      </c>
      <c r="I12" s="19">
        <v>0</v>
      </c>
      <c r="J12" s="19">
        <v>5</v>
      </c>
      <c r="K12" s="19">
        <v>0</v>
      </c>
      <c r="L12" s="19">
        <v>0</v>
      </c>
      <c r="M12" s="20">
        <f t="shared" si="1"/>
        <v>5</v>
      </c>
      <c r="N12" s="17" t="s">
        <v>51</v>
      </c>
      <c r="O12" s="15" t="s">
        <v>49</v>
      </c>
      <c r="P12" s="16"/>
    </row>
    <row r="13" spans="1:16" ht="14.25" customHeight="1" x14ac:dyDescent="0.3">
      <c r="A13" s="13"/>
      <c r="B13" s="14"/>
      <c r="C13" s="15"/>
      <c r="D13" s="18"/>
      <c r="E13" s="21" t="s">
        <v>39</v>
      </c>
      <c r="F13" s="22">
        <v>50</v>
      </c>
      <c r="G13" s="22">
        <v>0</v>
      </c>
      <c r="H13" s="22">
        <f t="shared" si="0"/>
        <v>50</v>
      </c>
      <c r="I13" s="22">
        <v>0</v>
      </c>
      <c r="J13" s="22">
        <v>0</v>
      </c>
      <c r="K13" s="22">
        <v>0</v>
      </c>
      <c r="L13" s="22">
        <v>0</v>
      </c>
      <c r="M13" s="23">
        <f t="shared" si="1"/>
        <v>0</v>
      </c>
      <c r="N13" s="24" t="s">
        <v>51</v>
      </c>
      <c r="O13" s="31" t="s">
        <v>48</v>
      </c>
      <c r="P13" s="16"/>
    </row>
    <row r="14" spans="1:16" ht="14.25" customHeight="1" x14ac:dyDescent="0.3">
      <c r="A14" s="13"/>
      <c r="B14" s="17" t="s">
        <v>58</v>
      </c>
      <c r="C14" s="15" t="s">
        <v>22</v>
      </c>
      <c r="D14" s="18">
        <v>498</v>
      </c>
      <c r="E14" s="16" t="s">
        <v>36</v>
      </c>
      <c r="F14" s="19">
        <v>0</v>
      </c>
      <c r="G14" s="19">
        <v>50</v>
      </c>
      <c r="H14" s="19">
        <f t="shared" si="0"/>
        <v>50</v>
      </c>
      <c r="I14" s="19">
        <v>0</v>
      </c>
      <c r="J14" s="19">
        <v>0</v>
      </c>
      <c r="K14" s="19">
        <v>0</v>
      </c>
      <c r="L14" s="19">
        <v>0</v>
      </c>
      <c r="M14" s="20">
        <f t="shared" si="1"/>
        <v>0</v>
      </c>
      <c r="N14" s="14"/>
      <c r="P14" s="16"/>
    </row>
    <row r="15" spans="1:16" ht="14.25" customHeight="1" x14ac:dyDescent="0.3">
      <c r="A15" s="13"/>
      <c r="B15" s="14"/>
      <c r="C15" s="15"/>
      <c r="D15" s="26"/>
      <c r="E15" s="16" t="s">
        <v>37</v>
      </c>
      <c r="F15" s="19">
        <v>0</v>
      </c>
      <c r="G15" s="19">
        <v>406</v>
      </c>
      <c r="H15" s="19">
        <f t="shared" si="0"/>
        <v>406</v>
      </c>
      <c r="I15" s="19">
        <v>0</v>
      </c>
      <c r="J15" s="19">
        <v>0</v>
      </c>
      <c r="K15" s="19">
        <v>0</v>
      </c>
      <c r="L15" s="19">
        <v>0</v>
      </c>
      <c r="M15" s="20">
        <f t="shared" si="1"/>
        <v>0</v>
      </c>
      <c r="N15" s="14"/>
      <c r="O15" s="15"/>
      <c r="P15" s="16"/>
    </row>
    <row r="16" spans="1:16" ht="14.25" customHeight="1" x14ac:dyDescent="0.3">
      <c r="A16" s="13"/>
      <c r="B16" s="14"/>
      <c r="C16" s="15"/>
      <c r="D16" s="26"/>
      <c r="E16" s="16" t="s">
        <v>38</v>
      </c>
      <c r="F16" s="19">
        <v>0</v>
      </c>
      <c r="G16" s="19">
        <v>537</v>
      </c>
      <c r="H16" s="19">
        <f t="shared" si="0"/>
        <v>537</v>
      </c>
      <c r="I16" s="19">
        <v>0</v>
      </c>
      <c r="J16" s="19">
        <v>0</v>
      </c>
      <c r="K16" s="19">
        <v>0</v>
      </c>
      <c r="L16" s="19">
        <v>0</v>
      </c>
      <c r="M16" s="20">
        <f t="shared" si="1"/>
        <v>0</v>
      </c>
      <c r="N16" s="14"/>
      <c r="O16" s="15"/>
      <c r="P16" s="16"/>
    </row>
    <row r="17" spans="1:16" ht="14.25" customHeight="1" x14ac:dyDescent="0.3">
      <c r="A17" s="13"/>
      <c r="B17" s="14"/>
      <c r="C17" s="15"/>
      <c r="D17" s="26"/>
      <c r="E17" s="27" t="s">
        <v>39</v>
      </c>
      <c r="F17" s="22">
        <v>45</v>
      </c>
      <c r="G17" s="22">
        <v>0</v>
      </c>
      <c r="H17" s="22">
        <f t="shared" si="0"/>
        <v>45</v>
      </c>
      <c r="I17" s="22">
        <v>0</v>
      </c>
      <c r="J17" s="22">
        <v>0</v>
      </c>
      <c r="K17" s="22">
        <v>0</v>
      </c>
      <c r="L17" s="22">
        <v>0</v>
      </c>
      <c r="M17" s="23">
        <f t="shared" si="1"/>
        <v>0</v>
      </c>
      <c r="N17" s="28"/>
      <c r="O17" s="25"/>
      <c r="P17" s="29"/>
    </row>
    <row r="18" spans="1:16" ht="14.25" customHeight="1" x14ac:dyDescent="0.3">
      <c r="A18" s="13"/>
      <c r="B18" s="14"/>
      <c r="C18" s="15"/>
      <c r="D18" s="26"/>
      <c r="E18" s="16"/>
      <c r="F18" s="16"/>
      <c r="G18" s="16"/>
      <c r="H18" s="16"/>
      <c r="I18" s="16"/>
      <c r="J18" s="16"/>
      <c r="K18" s="16"/>
      <c r="L18" s="16"/>
      <c r="M18" s="16"/>
      <c r="N18" s="14"/>
      <c r="O18" s="15"/>
      <c r="P18" s="16"/>
    </row>
    <row r="19" spans="1:16" ht="14.25" customHeight="1" x14ac:dyDescent="0.3">
      <c r="A19" s="13">
        <v>2</v>
      </c>
      <c r="B19" s="14" t="s">
        <v>23</v>
      </c>
      <c r="C19" s="15"/>
      <c r="D19" s="26"/>
      <c r="E19" s="16"/>
      <c r="F19" s="16"/>
      <c r="G19" s="16"/>
      <c r="H19" s="16"/>
      <c r="I19" s="16"/>
      <c r="J19" s="16"/>
      <c r="K19" s="16"/>
      <c r="L19" s="16"/>
      <c r="M19" s="16"/>
      <c r="N19" s="14"/>
      <c r="O19" s="15"/>
      <c r="P19" s="16"/>
    </row>
    <row r="20" spans="1:16" ht="14.25" customHeight="1" x14ac:dyDescent="0.3">
      <c r="A20" s="13"/>
      <c r="B20" s="14" t="s">
        <v>57</v>
      </c>
      <c r="C20" s="15" t="s">
        <v>22</v>
      </c>
      <c r="D20" s="26">
        <v>198</v>
      </c>
      <c r="E20" s="16" t="s">
        <v>40</v>
      </c>
      <c r="F20" s="19">
        <v>0</v>
      </c>
      <c r="G20" s="19">
        <v>158</v>
      </c>
      <c r="H20" s="19">
        <f t="shared" ref="H20:H21" si="2">SUM(F20:G20)</f>
        <v>158</v>
      </c>
      <c r="I20" s="19">
        <v>0</v>
      </c>
      <c r="J20" s="19">
        <v>10</v>
      </c>
      <c r="K20" s="19">
        <v>0</v>
      </c>
      <c r="L20" s="19">
        <v>0</v>
      </c>
      <c r="M20" s="20">
        <f t="shared" ref="M20:M21" si="3">SUM(I20:L20)</f>
        <v>10</v>
      </c>
      <c r="N20" s="17" t="s">
        <v>51</v>
      </c>
      <c r="O20" s="396" t="s">
        <v>54</v>
      </c>
      <c r="P20" s="16"/>
    </row>
    <row r="21" spans="1:16" ht="22.5" customHeight="1" x14ac:dyDescent="0.3">
      <c r="A21" s="13"/>
      <c r="B21" s="14"/>
      <c r="C21" s="15"/>
      <c r="D21" s="26"/>
      <c r="E21" s="16"/>
      <c r="F21" s="19"/>
      <c r="G21" s="19">
        <v>0</v>
      </c>
      <c r="H21" s="19">
        <f t="shared" si="2"/>
        <v>0</v>
      </c>
      <c r="I21" s="19">
        <v>0</v>
      </c>
      <c r="J21" s="19">
        <v>0</v>
      </c>
      <c r="K21" s="19">
        <v>0</v>
      </c>
      <c r="L21" s="19">
        <v>0</v>
      </c>
      <c r="M21" s="20">
        <f t="shared" si="3"/>
        <v>0</v>
      </c>
      <c r="N21" s="14"/>
      <c r="O21" s="397"/>
      <c r="P21" s="16"/>
    </row>
    <row r="22" spans="1:16" ht="14.25" customHeight="1" x14ac:dyDescent="0.3">
      <c r="A22" s="13"/>
      <c r="B22" s="14"/>
      <c r="C22" s="15"/>
      <c r="D22" s="26"/>
      <c r="E22" s="16"/>
      <c r="F22" s="19"/>
      <c r="G22" s="19"/>
      <c r="H22" s="19"/>
      <c r="I22" s="19"/>
      <c r="J22" s="19"/>
      <c r="K22" s="19"/>
      <c r="L22" s="19"/>
      <c r="M22" s="19"/>
      <c r="N22" s="14"/>
      <c r="O22" s="15"/>
      <c r="P22" s="16"/>
    </row>
    <row r="23" spans="1:16" ht="14.25" customHeight="1" x14ac:dyDescent="0.3">
      <c r="A23" s="13">
        <v>3</v>
      </c>
      <c r="B23" s="14" t="s">
        <v>19</v>
      </c>
      <c r="C23" s="15"/>
      <c r="D23" s="26"/>
      <c r="E23" s="16"/>
      <c r="F23" s="19"/>
      <c r="G23" s="19"/>
      <c r="H23" s="19"/>
      <c r="I23" s="19"/>
      <c r="J23" s="19"/>
      <c r="K23" s="19"/>
      <c r="L23" s="19"/>
      <c r="M23" s="19"/>
      <c r="N23" s="14"/>
      <c r="O23" s="15"/>
      <c r="P23" s="16"/>
    </row>
    <row r="24" spans="1:16" ht="14.25" customHeight="1" x14ac:dyDescent="0.3">
      <c r="A24" s="13"/>
      <c r="B24" s="14" t="s">
        <v>57</v>
      </c>
      <c r="C24" s="15" t="s">
        <v>24</v>
      </c>
      <c r="D24" s="26">
        <v>1372.2</v>
      </c>
      <c r="E24" s="30" t="s">
        <v>52</v>
      </c>
      <c r="F24" s="19">
        <v>0</v>
      </c>
      <c r="G24" s="26">
        <v>137.22</v>
      </c>
      <c r="H24" s="26">
        <f>SUM(F24:G24)</f>
        <v>137.22</v>
      </c>
      <c r="I24" s="19">
        <v>0</v>
      </c>
      <c r="J24" s="19">
        <v>0</v>
      </c>
      <c r="K24" s="19">
        <v>0</v>
      </c>
      <c r="L24" s="19">
        <v>0</v>
      </c>
      <c r="M24" s="19">
        <f>SUM(I24:L24)</f>
        <v>0</v>
      </c>
      <c r="N24" s="14" t="s">
        <v>51</v>
      </c>
      <c r="O24" s="15" t="s">
        <v>138</v>
      </c>
      <c r="P24" s="16"/>
    </row>
    <row r="25" spans="1:16" ht="14.25" customHeight="1" x14ac:dyDescent="0.3">
      <c r="A25" s="13"/>
      <c r="B25" s="14" t="s">
        <v>58</v>
      </c>
      <c r="C25" s="15" t="s">
        <v>25</v>
      </c>
      <c r="D25" s="26">
        <v>995.2</v>
      </c>
      <c r="E25" s="30" t="s">
        <v>52</v>
      </c>
      <c r="F25" s="19">
        <v>0</v>
      </c>
      <c r="G25" s="26">
        <v>99.52</v>
      </c>
      <c r="H25" s="26">
        <f t="shared" ref="H25:H44" si="4">SUM(F25:G25)</f>
        <v>99.52</v>
      </c>
      <c r="I25" s="19">
        <v>0</v>
      </c>
      <c r="J25" s="19">
        <v>0</v>
      </c>
      <c r="K25" s="19">
        <v>0</v>
      </c>
      <c r="L25" s="19">
        <v>0</v>
      </c>
      <c r="M25" s="19">
        <f t="shared" ref="M25:M44" si="5">SUM(I25:L25)</f>
        <v>0</v>
      </c>
      <c r="N25" s="14" t="s">
        <v>51</v>
      </c>
      <c r="O25" s="15" t="s">
        <v>139</v>
      </c>
      <c r="P25" s="16"/>
    </row>
    <row r="26" spans="1:16" ht="14.25" customHeight="1" x14ac:dyDescent="0.3">
      <c r="A26" s="13"/>
      <c r="B26" s="14" t="s">
        <v>59</v>
      </c>
      <c r="C26" s="15" t="s">
        <v>26</v>
      </c>
      <c r="D26" s="26">
        <v>716.5</v>
      </c>
      <c r="E26" s="30" t="s">
        <v>52</v>
      </c>
      <c r="F26" s="19">
        <v>0</v>
      </c>
      <c r="G26" s="26">
        <v>72.650000000000006</v>
      </c>
      <c r="H26" s="26">
        <f t="shared" si="4"/>
        <v>72.650000000000006</v>
      </c>
      <c r="I26" s="19">
        <v>0</v>
      </c>
      <c r="J26" s="19">
        <v>5</v>
      </c>
      <c r="K26" s="19">
        <v>0</v>
      </c>
      <c r="L26" s="19">
        <v>0</v>
      </c>
      <c r="M26" s="19">
        <f t="shared" si="5"/>
        <v>5</v>
      </c>
      <c r="N26" s="14" t="s">
        <v>51</v>
      </c>
      <c r="O26" s="31" t="s">
        <v>141</v>
      </c>
      <c r="P26" s="16"/>
    </row>
    <row r="27" spans="1:16" ht="14.25" customHeight="1" x14ac:dyDescent="0.3">
      <c r="A27" s="13"/>
      <c r="B27" s="14" t="s">
        <v>60</v>
      </c>
      <c r="C27" s="15" t="s">
        <v>55</v>
      </c>
      <c r="D27" s="26">
        <v>955.3</v>
      </c>
      <c r="E27" s="30" t="s">
        <v>52</v>
      </c>
      <c r="F27" s="19">
        <v>0</v>
      </c>
      <c r="G27" s="26">
        <v>95</v>
      </c>
      <c r="H27" s="26">
        <f t="shared" si="4"/>
        <v>95</v>
      </c>
      <c r="I27" s="19">
        <v>0</v>
      </c>
      <c r="J27" s="19">
        <v>0</v>
      </c>
      <c r="K27" s="19">
        <v>0</v>
      </c>
      <c r="L27" s="19">
        <v>0</v>
      </c>
      <c r="M27" s="19">
        <f t="shared" si="5"/>
        <v>0</v>
      </c>
      <c r="N27" s="14"/>
      <c r="O27" s="15" t="s">
        <v>142</v>
      </c>
      <c r="P27" s="16"/>
    </row>
    <row r="28" spans="1:16" ht="14.25" customHeight="1" x14ac:dyDescent="0.3">
      <c r="A28" s="13"/>
      <c r="B28" s="14" t="s">
        <v>61</v>
      </c>
      <c r="C28" s="15" t="s">
        <v>27</v>
      </c>
      <c r="D28" s="26">
        <v>901.2</v>
      </c>
      <c r="E28" s="30" t="s">
        <v>52</v>
      </c>
      <c r="F28" s="19">
        <v>0</v>
      </c>
      <c r="G28" s="26">
        <v>90</v>
      </c>
      <c r="H28" s="26">
        <f t="shared" si="4"/>
        <v>90</v>
      </c>
      <c r="I28" s="19">
        <v>0</v>
      </c>
      <c r="J28" s="19">
        <v>0</v>
      </c>
      <c r="K28" s="19">
        <v>0</v>
      </c>
      <c r="L28" s="19">
        <v>0</v>
      </c>
      <c r="M28" s="19">
        <f t="shared" si="5"/>
        <v>0</v>
      </c>
      <c r="N28" s="14"/>
      <c r="O28" s="15" t="s">
        <v>143</v>
      </c>
      <c r="P28" s="16"/>
    </row>
    <row r="29" spans="1:16" ht="14.25" customHeight="1" x14ac:dyDescent="0.3">
      <c r="A29" s="13"/>
      <c r="B29" s="14" t="s">
        <v>62</v>
      </c>
      <c r="C29" s="15" t="s">
        <v>28</v>
      </c>
      <c r="D29" s="26">
        <v>871</v>
      </c>
      <c r="E29" s="30" t="s">
        <v>52</v>
      </c>
      <c r="F29" s="19">
        <v>0</v>
      </c>
      <c r="G29" s="26">
        <v>87</v>
      </c>
      <c r="H29" s="26">
        <f t="shared" si="4"/>
        <v>87</v>
      </c>
      <c r="I29" s="19">
        <v>0</v>
      </c>
      <c r="J29" s="19">
        <v>0</v>
      </c>
      <c r="K29" s="19">
        <v>0</v>
      </c>
      <c r="L29" s="19">
        <v>0</v>
      </c>
      <c r="M29" s="19">
        <f t="shared" si="5"/>
        <v>0</v>
      </c>
      <c r="N29" s="14"/>
      <c r="O29" s="15"/>
      <c r="P29" s="16"/>
    </row>
    <row r="30" spans="1:16" ht="14.25" customHeight="1" x14ac:dyDescent="0.3">
      <c r="A30" s="13"/>
      <c r="B30" s="14" t="s">
        <v>63</v>
      </c>
      <c r="C30" s="15" t="s">
        <v>29</v>
      </c>
      <c r="D30" s="26">
        <v>1516</v>
      </c>
      <c r="E30" s="30" t="s">
        <v>52</v>
      </c>
      <c r="F30" s="19">
        <v>0</v>
      </c>
      <c r="G30" s="26">
        <v>151.5</v>
      </c>
      <c r="H30" s="26">
        <f t="shared" si="4"/>
        <v>151.5</v>
      </c>
      <c r="I30" s="19">
        <v>0</v>
      </c>
      <c r="J30" s="19">
        <v>0</v>
      </c>
      <c r="K30" s="19">
        <v>0</v>
      </c>
      <c r="L30" s="19">
        <v>0</v>
      </c>
      <c r="M30" s="19">
        <f t="shared" si="5"/>
        <v>0</v>
      </c>
      <c r="N30" s="14"/>
      <c r="O30" s="15"/>
      <c r="P30" s="16"/>
    </row>
    <row r="31" spans="1:16" ht="14.25" customHeight="1" x14ac:dyDescent="0.3">
      <c r="A31" s="13"/>
      <c r="B31" s="14" t="s">
        <v>64</v>
      </c>
      <c r="C31" s="15" t="s">
        <v>56</v>
      </c>
      <c r="D31" s="26">
        <v>97.2</v>
      </c>
      <c r="E31" s="30" t="s">
        <v>52</v>
      </c>
      <c r="F31" s="19">
        <v>0</v>
      </c>
      <c r="G31" s="26">
        <v>9.5</v>
      </c>
      <c r="H31" s="26">
        <f t="shared" si="4"/>
        <v>9.5</v>
      </c>
      <c r="I31" s="19">
        <v>0</v>
      </c>
      <c r="J31" s="19">
        <v>0</v>
      </c>
      <c r="K31" s="19">
        <v>0</v>
      </c>
      <c r="L31" s="19">
        <v>0</v>
      </c>
      <c r="M31" s="19">
        <f t="shared" si="5"/>
        <v>0</v>
      </c>
      <c r="N31" s="14"/>
      <c r="O31" s="15"/>
      <c r="P31" s="16"/>
    </row>
    <row r="32" spans="1:16" ht="14.25" customHeight="1" x14ac:dyDescent="0.3">
      <c r="A32" s="13"/>
      <c r="B32" s="14" t="s">
        <v>65</v>
      </c>
      <c r="C32" s="15" t="s">
        <v>30</v>
      </c>
      <c r="D32" s="26">
        <v>1502.3</v>
      </c>
      <c r="E32" s="30" t="s">
        <v>52</v>
      </c>
      <c r="F32" s="19">
        <v>0</v>
      </c>
      <c r="G32" s="26">
        <v>150</v>
      </c>
      <c r="H32" s="26">
        <f t="shared" si="4"/>
        <v>150</v>
      </c>
      <c r="I32" s="19">
        <v>0</v>
      </c>
      <c r="J32" s="19">
        <v>0</v>
      </c>
      <c r="K32" s="19">
        <v>0</v>
      </c>
      <c r="L32" s="19">
        <v>0</v>
      </c>
      <c r="M32" s="19">
        <f t="shared" si="5"/>
        <v>0</v>
      </c>
      <c r="N32" s="14"/>
      <c r="O32" s="15"/>
      <c r="P32" s="16"/>
    </row>
    <row r="33" spans="1:16" ht="14.25" customHeight="1" x14ac:dyDescent="0.3">
      <c r="A33" s="13"/>
      <c r="B33" s="14" t="s">
        <v>66</v>
      </c>
      <c r="C33" s="15" t="s">
        <v>31</v>
      </c>
      <c r="D33" s="26">
        <v>1518</v>
      </c>
      <c r="E33" s="30" t="s">
        <v>52</v>
      </c>
      <c r="F33" s="19">
        <v>0</v>
      </c>
      <c r="G33" s="26">
        <v>151</v>
      </c>
      <c r="H33" s="26">
        <f t="shared" si="4"/>
        <v>151</v>
      </c>
      <c r="I33" s="19">
        <v>0</v>
      </c>
      <c r="J33" s="19">
        <v>0</v>
      </c>
      <c r="K33" s="19">
        <v>0</v>
      </c>
      <c r="L33" s="19">
        <v>0</v>
      </c>
      <c r="M33" s="19">
        <f t="shared" si="5"/>
        <v>0</v>
      </c>
      <c r="N33" s="14"/>
      <c r="O33" s="15"/>
      <c r="P33" s="16"/>
    </row>
    <row r="34" spans="1:16" ht="14.25" customHeight="1" x14ac:dyDescent="0.3">
      <c r="A34" s="13"/>
      <c r="B34" s="14" t="s">
        <v>67</v>
      </c>
      <c r="C34" s="15" t="s">
        <v>32</v>
      </c>
      <c r="D34" s="26">
        <v>997.4</v>
      </c>
      <c r="E34" s="30" t="s">
        <v>52</v>
      </c>
      <c r="F34" s="19">
        <v>0</v>
      </c>
      <c r="G34" s="26">
        <v>99.5</v>
      </c>
      <c r="H34" s="26">
        <f t="shared" si="4"/>
        <v>99.5</v>
      </c>
      <c r="I34" s="19">
        <v>0</v>
      </c>
      <c r="J34" s="19">
        <v>0</v>
      </c>
      <c r="K34" s="19">
        <v>0</v>
      </c>
      <c r="L34" s="19">
        <v>0</v>
      </c>
      <c r="M34" s="19">
        <f t="shared" si="5"/>
        <v>0</v>
      </c>
      <c r="N34" s="14"/>
      <c r="O34" s="15"/>
      <c r="P34" s="16"/>
    </row>
    <row r="35" spans="1:16" ht="14.25" customHeight="1" x14ac:dyDescent="0.3">
      <c r="A35" s="13"/>
      <c r="B35" s="14" t="s">
        <v>68</v>
      </c>
      <c r="C35" s="15" t="s">
        <v>33</v>
      </c>
      <c r="D35" s="26">
        <v>1304</v>
      </c>
      <c r="E35" s="30" t="s">
        <v>52</v>
      </c>
      <c r="F35" s="19">
        <v>0</v>
      </c>
      <c r="G35" s="26">
        <v>129</v>
      </c>
      <c r="H35" s="26">
        <f t="shared" si="4"/>
        <v>129</v>
      </c>
      <c r="I35" s="19">
        <v>0</v>
      </c>
      <c r="J35" s="19">
        <v>0</v>
      </c>
      <c r="K35" s="19">
        <v>0</v>
      </c>
      <c r="L35" s="19">
        <v>0</v>
      </c>
      <c r="M35" s="19">
        <f t="shared" si="5"/>
        <v>0</v>
      </c>
      <c r="N35" s="14"/>
      <c r="O35" s="15"/>
      <c r="P35" s="16"/>
    </row>
    <row r="36" spans="1:16" ht="14.25" customHeight="1" x14ac:dyDescent="0.3">
      <c r="A36" s="13"/>
      <c r="B36" s="14" t="s">
        <v>69</v>
      </c>
      <c r="C36" s="15" t="s">
        <v>34</v>
      </c>
      <c r="D36" s="26">
        <v>1704</v>
      </c>
      <c r="E36" s="30" t="s">
        <v>52</v>
      </c>
      <c r="F36" s="19">
        <v>0</v>
      </c>
      <c r="G36" s="26">
        <v>170</v>
      </c>
      <c r="H36" s="26">
        <f t="shared" si="4"/>
        <v>170</v>
      </c>
      <c r="I36" s="19">
        <v>0</v>
      </c>
      <c r="J36" s="19">
        <v>0</v>
      </c>
      <c r="K36" s="19">
        <v>0</v>
      </c>
      <c r="L36" s="19">
        <v>0</v>
      </c>
      <c r="M36" s="19">
        <f t="shared" si="5"/>
        <v>0</v>
      </c>
      <c r="N36" s="14"/>
      <c r="O36" s="15"/>
      <c r="P36" s="16"/>
    </row>
    <row r="37" spans="1:16" ht="14.25" customHeight="1" x14ac:dyDescent="0.3">
      <c r="A37" s="13"/>
      <c r="B37" s="14" t="s">
        <v>70</v>
      </c>
      <c r="C37" s="15" t="s">
        <v>35</v>
      </c>
      <c r="D37" s="26">
        <v>1557</v>
      </c>
      <c r="E37" s="30" t="s">
        <v>52</v>
      </c>
      <c r="F37" s="19">
        <v>0</v>
      </c>
      <c r="G37" s="26">
        <v>154</v>
      </c>
      <c r="H37" s="26">
        <f t="shared" si="4"/>
        <v>154</v>
      </c>
      <c r="I37" s="19">
        <v>0</v>
      </c>
      <c r="J37" s="19">
        <v>0</v>
      </c>
      <c r="K37" s="19">
        <v>0</v>
      </c>
      <c r="L37" s="19">
        <v>0</v>
      </c>
      <c r="M37" s="19">
        <f t="shared" si="5"/>
        <v>0</v>
      </c>
      <c r="N37" s="14"/>
      <c r="O37" s="15"/>
      <c r="P37" s="16"/>
    </row>
    <row r="38" spans="1:16" ht="14.25" customHeight="1" x14ac:dyDescent="0.3">
      <c r="A38" s="13"/>
      <c r="B38" s="14" t="s">
        <v>71</v>
      </c>
      <c r="C38" s="15" t="s">
        <v>21</v>
      </c>
      <c r="D38" s="26">
        <v>1669</v>
      </c>
      <c r="E38" s="30" t="s">
        <v>52</v>
      </c>
      <c r="F38" s="19">
        <v>0</v>
      </c>
      <c r="G38" s="26">
        <v>165</v>
      </c>
      <c r="H38" s="26">
        <f t="shared" si="4"/>
        <v>165</v>
      </c>
      <c r="I38" s="19">
        <v>0</v>
      </c>
      <c r="J38" s="19">
        <v>0</v>
      </c>
      <c r="K38" s="19">
        <v>0</v>
      </c>
      <c r="L38" s="19">
        <v>0</v>
      </c>
      <c r="M38" s="19">
        <f t="shared" si="5"/>
        <v>0</v>
      </c>
      <c r="N38" s="14"/>
      <c r="O38" s="15"/>
      <c r="P38" s="16"/>
    </row>
    <row r="39" spans="1:16" ht="14.25" customHeight="1" x14ac:dyDescent="0.3">
      <c r="A39" s="13"/>
      <c r="B39" s="14" t="s">
        <v>72</v>
      </c>
      <c r="C39" s="15" t="s">
        <v>42</v>
      </c>
      <c r="D39" s="26">
        <v>773</v>
      </c>
      <c r="E39" s="30" t="s">
        <v>52</v>
      </c>
      <c r="F39" s="19">
        <v>0</v>
      </c>
      <c r="G39" s="26">
        <v>75</v>
      </c>
      <c r="H39" s="26">
        <f t="shared" si="4"/>
        <v>75</v>
      </c>
      <c r="I39" s="19">
        <v>0</v>
      </c>
      <c r="J39" s="19">
        <v>0</v>
      </c>
      <c r="K39" s="19">
        <v>0</v>
      </c>
      <c r="L39" s="19">
        <v>0</v>
      </c>
      <c r="M39" s="19">
        <f t="shared" si="5"/>
        <v>0</v>
      </c>
      <c r="N39" s="14"/>
      <c r="O39" s="15"/>
      <c r="P39" s="16"/>
    </row>
    <row r="40" spans="1:16" ht="14.25" customHeight="1" x14ac:dyDescent="0.3">
      <c r="A40" s="13"/>
      <c r="B40" s="14"/>
      <c r="C40" s="15"/>
      <c r="D40" s="26"/>
      <c r="E40" s="16" t="s">
        <v>45</v>
      </c>
      <c r="F40" s="19">
        <v>0</v>
      </c>
      <c r="G40" s="26">
        <v>65</v>
      </c>
      <c r="H40" s="26">
        <f t="shared" si="4"/>
        <v>65</v>
      </c>
      <c r="I40" s="19">
        <v>0</v>
      </c>
      <c r="J40" s="19">
        <v>0</v>
      </c>
      <c r="K40" s="19">
        <v>0</v>
      </c>
      <c r="L40" s="19">
        <v>0</v>
      </c>
      <c r="M40" s="19">
        <f t="shared" si="5"/>
        <v>0</v>
      </c>
      <c r="N40" s="14"/>
      <c r="O40" s="15"/>
      <c r="P40" s="16"/>
    </row>
    <row r="41" spans="1:16" ht="14.25" customHeight="1" x14ac:dyDescent="0.3">
      <c r="A41" s="13"/>
      <c r="B41" s="14" t="s">
        <v>73</v>
      </c>
      <c r="C41" s="15" t="s">
        <v>22</v>
      </c>
      <c r="D41" s="26">
        <v>1146</v>
      </c>
      <c r="E41" s="30" t="s">
        <v>52</v>
      </c>
      <c r="F41" s="19">
        <v>0</v>
      </c>
      <c r="G41" s="26">
        <v>114</v>
      </c>
      <c r="H41" s="26">
        <f t="shared" si="4"/>
        <v>114</v>
      </c>
      <c r="I41" s="19">
        <v>0</v>
      </c>
      <c r="J41" s="19">
        <v>0</v>
      </c>
      <c r="K41" s="19">
        <v>0</v>
      </c>
      <c r="L41" s="19">
        <v>0</v>
      </c>
      <c r="M41" s="19">
        <f t="shared" si="5"/>
        <v>0</v>
      </c>
      <c r="N41" s="14"/>
      <c r="O41" s="15"/>
      <c r="P41" s="16"/>
    </row>
    <row r="42" spans="1:16" ht="14.25" customHeight="1" x14ac:dyDescent="0.3">
      <c r="A42" s="13"/>
      <c r="B42" s="14"/>
      <c r="C42" s="15"/>
      <c r="D42" s="26"/>
      <c r="E42" s="16" t="s">
        <v>45</v>
      </c>
      <c r="F42" s="19">
        <v>0</v>
      </c>
      <c r="G42" s="26">
        <v>55</v>
      </c>
      <c r="H42" s="26">
        <f t="shared" si="4"/>
        <v>55</v>
      </c>
      <c r="I42" s="19">
        <v>0</v>
      </c>
      <c r="J42" s="19">
        <v>0</v>
      </c>
      <c r="K42" s="19">
        <v>0</v>
      </c>
      <c r="L42" s="19">
        <v>0</v>
      </c>
      <c r="M42" s="19">
        <f t="shared" si="5"/>
        <v>0</v>
      </c>
      <c r="N42" s="14"/>
      <c r="O42" s="15"/>
      <c r="P42" s="16"/>
    </row>
    <row r="43" spans="1:16" ht="14.25" customHeight="1" x14ac:dyDescent="0.3">
      <c r="A43" s="13"/>
      <c r="B43" s="14" t="s">
        <v>74</v>
      </c>
      <c r="C43" s="15" t="s">
        <v>43</v>
      </c>
      <c r="D43" s="26">
        <v>1189</v>
      </c>
      <c r="E43" s="30" t="s">
        <v>52</v>
      </c>
      <c r="F43" s="19">
        <v>0</v>
      </c>
      <c r="G43" s="26">
        <v>115</v>
      </c>
      <c r="H43" s="26">
        <f t="shared" si="4"/>
        <v>115</v>
      </c>
      <c r="I43" s="19">
        <v>0</v>
      </c>
      <c r="J43" s="19">
        <v>0</v>
      </c>
      <c r="K43" s="19">
        <v>0</v>
      </c>
      <c r="L43" s="19">
        <v>0</v>
      </c>
      <c r="M43" s="19">
        <f t="shared" si="5"/>
        <v>0</v>
      </c>
      <c r="N43" s="14"/>
      <c r="O43" s="15"/>
      <c r="P43" s="16"/>
    </row>
    <row r="44" spans="1:16" ht="14.25" customHeight="1" x14ac:dyDescent="0.3">
      <c r="A44" s="13"/>
      <c r="B44" s="14" t="s">
        <v>75</v>
      </c>
      <c r="C44" s="15" t="s">
        <v>44</v>
      </c>
      <c r="D44" s="26">
        <v>1391</v>
      </c>
      <c r="E44" s="30" t="s">
        <v>52</v>
      </c>
      <c r="F44" s="19">
        <v>0</v>
      </c>
      <c r="G44" s="26">
        <v>136</v>
      </c>
      <c r="H44" s="26">
        <f t="shared" si="4"/>
        <v>136</v>
      </c>
      <c r="I44" s="19">
        <v>0</v>
      </c>
      <c r="J44" s="19">
        <v>0</v>
      </c>
      <c r="K44" s="19">
        <v>0</v>
      </c>
      <c r="L44" s="19">
        <v>0</v>
      </c>
      <c r="M44" s="19">
        <f t="shared" si="5"/>
        <v>0</v>
      </c>
      <c r="N44" s="14"/>
      <c r="O44" s="15"/>
      <c r="P44" s="16"/>
    </row>
    <row r="45" spans="1:16" ht="14.25" customHeight="1" x14ac:dyDescent="0.3">
      <c r="A45" s="13"/>
      <c r="B45" s="14"/>
      <c r="C45" s="15"/>
      <c r="D45" s="16"/>
      <c r="E45" s="16"/>
      <c r="F45" s="19"/>
      <c r="G45" s="19"/>
      <c r="H45" s="19"/>
      <c r="I45" s="19"/>
      <c r="J45" s="19"/>
      <c r="K45" s="19"/>
      <c r="L45" s="19"/>
      <c r="M45" s="19"/>
      <c r="N45" s="14"/>
      <c r="O45" s="15"/>
      <c r="P45" s="16"/>
    </row>
    <row r="46" spans="1:16" ht="14.25" customHeight="1" x14ac:dyDescent="0.3">
      <c r="A46" s="13">
        <v>4</v>
      </c>
      <c r="B46" s="14" t="s">
        <v>46</v>
      </c>
      <c r="C46" s="15"/>
      <c r="D46" s="26"/>
      <c r="E46" s="16"/>
      <c r="F46" s="19"/>
      <c r="G46" s="19"/>
      <c r="H46" s="19"/>
      <c r="I46" s="19"/>
      <c r="J46" s="19"/>
      <c r="K46" s="19"/>
      <c r="L46" s="19"/>
      <c r="M46" s="19"/>
      <c r="N46" s="14"/>
      <c r="O46" s="15"/>
      <c r="P46" s="16"/>
    </row>
    <row r="47" spans="1:16" ht="14.25" customHeight="1" x14ac:dyDescent="0.3">
      <c r="A47" s="13"/>
      <c r="B47" s="14" t="s">
        <v>57</v>
      </c>
      <c r="C47" s="15" t="s">
        <v>29</v>
      </c>
      <c r="D47" s="26">
        <v>175</v>
      </c>
      <c r="E47" s="16" t="s">
        <v>134</v>
      </c>
      <c r="F47" s="26">
        <v>15</v>
      </c>
      <c r="G47" s="19">
        <v>0</v>
      </c>
      <c r="H47" s="26">
        <f>SUM(F47:G47)</f>
        <v>15</v>
      </c>
      <c r="I47" s="19">
        <v>0</v>
      </c>
      <c r="J47" s="19">
        <v>0</v>
      </c>
      <c r="K47" s="19">
        <v>0</v>
      </c>
      <c r="L47" s="19">
        <v>0</v>
      </c>
      <c r="M47" s="19">
        <f>SUM(I47:L47)</f>
        <v>0</v>
      </c>
      <c r="N47" s="14"/>
      <c r="O47" s="15" t="s">
        <v>93</v>
      </c>
      <c r="P47" s="16"/>
    </row>
    <row r="48" spans="1:16" ht="14.25" customHeight="1" x14ac:dyDescent="0.3">
      <c r="A48" s="13"/>
      <c r="B48" s="14" t="s">
        <v>58</v>
      </c>
      <c r="C48" s="15" t="s">
        <v>33</v>
      </c>
      <c r="D48" s="26">
        <v>270</v>
      </c>
      <c r="E48" s="16" t="s">
        <v>53</v>
      </c>
      <c r="F48" s="26">
        <v>15</v>
      </c>
      <c r="G48" s="19">
        <v>0</v>
      </c>
      <c r="H48" s="26">
        <f t="shared" ref="H48:H52" si="6">SUM(F48:G48)</f>
        <v>15</v>
      </c>
      <c r="I48" s="19">
        <v>0</v>
      </c>
      <c r="J48" s="19">
        <v>0</v>
      </c>
      <c r="K48" s="19">
        <v>0</v>
      </c>
      <c r="L48" s="19">
        <v>0</v>
      </c>
      <c r="M48" s="19">
        <f t="shared" ref="M48:M52" si="7">SUM(I48:L48)</f>
        <v>0</v>
      </c>
      <c r="N48" s="14"/>
      <c r="O48" s="15" t="s">
        <v>94</v>
      </c>
      <c r="P48" s="16"/>
    </row>
    <row r="49" spans="1:16" ht="14.25" customHeight="1" x14ac:dyDescent="0.3">
      <c r="A49" s="13"/>
      <c r="B49" s="14" t="s">
        <v>59</v>
      </c>
      <c r="C49" s="15" t="s">
        <v>42</v>
      </c>
      <c r="D49" s="26">
        <v>798.93</v>
      </c>
      <c r="E49" s="16" t="s">
        <v>134</v>
      </c>
      <c r="F49" s="26">
        <v>75</v>
      </c>
      <c r="G49" s="19">
        <v>0</v>
      </c>
      <c r="H49" s="26">
        <f t="shared" si="6"/>
        <v>75</v>
      </c>
      <c r="I49" s="19">
        <v>0</v>
      </c>
      <c r="J49" s="19">
        <v>5</v>
      </c>
      <c r="K49" s="19">
        <v>0</v>
      </c>
      <c r="L49" s="19">
        <v>0</v>
      </c>
      <c r="M49" s="19">
        <f t="shared" si="7"/>
        <v>5</v>
      </c>
      <c r="N49" s="14"/>
      <c r="O49" s="15"/>
      <c r="P49" s="16"/>
    </row>
    <row r="50" spans="1:16" ht="14.25" customHeight="1" x14ac:dyDescent="0.3">
      <c r="A50" s="13"/>
      <c r="B50" s="14" t="s">
        <v>60</v>
      </c>
      <c r="C50" s="15" t="s">
        <v>21</v>
      </c>
      <c r="D50" s="26">
        <v>1086.55</v>
      </c>
      <c r="E50" s="16" t="s">
        <v>134</v>
      </c>
      <c r="F50" s="26">
        <v>100</v>
      </c>
      <c r="G50" s="19">
        <v>0</v>
      </c>
      <c r="H50" s="26">
        <f t="shared" si="6"/>
        <v>100</v>
      </c>
      <c r="I50" s="19">
        <v>0</v>
      </c>
      <c r="J50" s="19">
        <v>5</v>
      </c>
      <c r="K50" s="19">
        <v>0</v>
      </c>
      <c r="L50" s="19">
        <v>0</v>
      </c>
      <c r="M50" s="19">
        <f t="shared" si="7"/>
        <v>5</v>
      </c>
      <c r="N50" s="14"/>
      <c r="O50" s="15"/>
      <c r="P50" s="16"/>
    </row>
    <row r="51" spans="1:16" ht="14.25" customHeight="1" x14ac:dyDescent="0.3">
      <c r="A51" s="16"/>
      <c r="B51" s="14" t="s">
        <v>61</v>
      </c>
      <c r="C51" s="15" t="s">
        <v>22</v>
      </c>
      <c r="D51" s="26">
        <v>1084.55</v>
      </c>
      <c r="E51" s="16" t="s">
        <v>53</v>
      </c>
      <c r="F51" s="26">
        <v>103</v>
      </c>
      <c r="G51" s="19">
        <v>0</v>
      </c>
      <c r="H51" s="26">
        <f t="shared" si="6"/>
        <v>103</v>
      </c>
      <c r="I51" s="19">
        <v>0</v>
      </c>
      <c r="J51" s="19">
        <v>5</v>
      </c>
      <c r="K51" s="19">
        <v>0</v>
      </c>
      <c r="L51" s="19">
        <v>0</v>
      </c>
      <c r="M51" s="19">
        <f t="shared" si="7"/>
        <v>5</v>
      </c>
      <c r="N51" s="14"/>
      <c r="O51" s="15"/>
      <c r="P51" s="16"/>
    </row>
    <row r="52" spans="1:16" ht="14.25" customHeight="1" x14ac:dyDescent="0.3">
      <c r="A52" s="16"/>
      <c r="B52" s="14" t="s">
        <v>62</v>
      </c>
      <c r="C52" s="15" t="s">
        <v>43</v>
      </c>
      <c r="D52" s="26">
        <v>33</v>
      </c>
      <c r="E52" s="16" t="s">
        <v>134</v>
      </c>
      <c r="F52" s="26">
        <f t="shared" ref="F52" si="8">10/100*D52</f>
        <v>3.3000000000000003</v>
      </c>
      <c r="G52" s="19">
        <v>0</v>
      </c>
      <c r="H52" s="26">
        <f t="shared" si="6"/>
        <v>3.3000000000000003</v>
      </c>
      <c r="I52" s="19">
        <v>0</v>
      </c>
      <c r="J52" s="19">
        <v>0</v>
      </c>
      <c r="K52" s="19">
        <v>0</v>
      </c>
      <c r="L52" s="19">
        <v>0</v>
      </c>
      <c r="M52" s="19">
        <f t="shared" si="7"/>
        <v>0</v>
      </c>
      <c r="N52" s="14"/>
      <c r="O52" s="15"/>
      <c r="P52" s="16"/>
    </row>
    <row r="53" spans="1:16" ht="14.25" customHeight="1" x14ac:dyDescent="0.3">
      <c r="A53" s="16"/>
      <c r="B53" s="14"/>
      <c r="C53" s="15"/>
      <c r="D53" s="26"/>
      <c r="E53" s="16"/>
      <c r="F53" s="26"/>
      <c r="G53" s="19"/>
      <c r="H53" s="26"/>
      <c r="I53" s="19"/>
      <c r="J53" s="19"/>
      <c r="K53" s="19"/>
      <c r="L53" s="19"/>
      <c r="M53" s="19"/>
      <c r="N53" s="14"/>
      <c r="O53" s="15"/>
      <c r="P53" s="16"/>
    </row>
    <row r="54" spans="1:16" ht="14.25" customHeight="1" x14ac:dyDescent="0.3">
      <c r="A54" s="13">
        <v>5</v>
      </c>
      <c r="B54" s="14" t="s">
        <v>96</v>
      </c>
      <c r="C54" s="15"/>
      <c r="D54" s="26"/>
      <c r="E54" s="16"/>
      <c r="F54" s="26"/>
      <c r="G54" s="19"/>
      <c r="H54" s="26"/>
      <c r="I54" s="19"/>
      <c r="J54" s="19"/>
      <c r="K54" s="19"/>
      <c r="L54" s="19"/>
      <c r="M54" s="19"/>
      <c r="N54" s="14"/>
      <c r="O54" s="15"/>
      <c r="P54" s="16"/>
    </row>
    <row r="55" spans="1:16" ht="14.25" customHeight="1" x14ac:dyDescent="0.3">
      <c r="A55" s="16"/>
      <c r="B55" s="14" t="s">
        <v>57</v>
      </c>
      <c r="C55" s="15" t="s">
        <v>22</v>
      </c>
      <c r="D55" s="26">
        <v>9.5</v>
      </c>
      <c r="E55" s="16" t="s">
        <v>130</v>
      </c>
      <c r="F55" s="26">
        <v>2</v>
      </c>
      <c r="G55" s="19">
        <v>0</v>
      </c>
      <c r="H55" s="26">
        <f>SUM(F55:G55)</f>
        <v>2</v>
      </c>
      <c r="I55" s="19">
        <v>0</v>
      </c>
      <c r="J55" s="19">
        <v>0</v>
      </c>
      <c r="K55" s="19">
        <v>0</v>
      </c>
      <c r="L55" s="19">
        <v>0</v>
      </c>
      <c r="M55" s="19">
        <f>SUM(I55:L55)</f>
        <v>0</v>
      </c>
      <c r="N55" s="14"/>
      <c r="O55" s="15" t="s">
        <v>133</v>
      </c>
      <c r="P55" s="16"/>
    </row>
    <row r="56" spans="1:16" ht="14.25" customHeight="1" x14ac:dyDescent="0.3">
      <c r="A56" s="16"/>
      <c r="B56" s="14" t="s">
        <v>58</v>
      </c>
      <c r="C56" s="15" t="s">
        <v>21</v>
      </c>
      <c r="D56" s="26">
        <v>17.11</v>
      </c>
      <c r="E56" s="16" t="s">
        <v>131</v>
      </c>
      <c r="F56" s="26">
        <v>2.5</v>
      </c>
      <c r="G56" s="19">
        <v>0</v>
      </c>
      <c r="H56" s="26">
        <f t="shared" ref="H56:H59" si="9">SUM(F56:G56)</f>
        <v>2.5</v>
      </c>
      <c r="I56" s="19">
        <v>0</v>
      </c>
      <c r="J56" s="19">
        <v>5</v>
      </c>
      <c r="K56" s="19">
        <v>0</v>
      </c>
      <c r="L56" s="19">
        <v>0</v>
      </c>
      <c r="M56" s="19">
        <f t="shared" ref="M56:M59" si="10">SUM(I56:L56)</f>
        <v>5</v>
      </c>
      <c r="N56" s="14"/>
      <c r="O56" s="15" t="s">
        <v>132</v>
      </c>
      <c r="P56" s="16"/>
    </row>
    <row r="57" spans="1:16" ht="14.25" customHeight="1" x14ac:dyDescent="0.3">
      <c r="A57" s="16"/>
      <c r="B57" s="14" t="s">
        <v>59</v>
      </c>
      <c r="C57" s="15" t="s">
        <v>43</v>
      </c>
      <c r="D57" s="26">
        <v>17.79</v>
      </c>
      <c r="E57" s="16" t="s">
        <v>130</v>
      </c>
      <c r="F57" s="26">
        <v>1.5</v>
      </c>
      <c r="G57" s="19">
        <v>0</v>
      </c>
      <c r="H57" s="26">
        <f t="shared" si="9"/>
        <v>1.5</v>
      </c>
      <c r="I57" s="19">
        <v>0</v>
      </c>
      <c r="J57" s="19">
        <v>0</v>
      </c>
      <c r="K57" s="19">
        <v>1</v>
      </c>
      <c r="L57" s="19">
        <v>0</v>
      </c>
      <c r="M57" s="19">
        <f t="shared" si="10"/>
        <v>1</v>
      </c>
      <c r="N57" s="14"/>
      <c r="O57" s="15"/>
      <c r="P57" s="16"/>
    </row>
    <row r="58" spans="1:16" ht="14.25" customHeight="1" x14ac:dyDescent="0.3">
      <c r="A58" s="16"/>
      <c r="B58" s="14" t="s">
        <v>60</v>
      </c>
      <c r="C58" s="15" t="s">
        <v>44</v>
      </c>
      <c r="D58" s="26">
        <v>30.5</v>
      </c>
      <c r="E58" s="16" t="s">
        <v>131</v>
      </c>
      <c r="F58" s="26">
        <v>5</v>
      </c>
      <c r="G58" s="19">
        <v>0</v>
      </c>
      <c r="H58" s="26">
        <f t="shared" si="9"/>
        <v>5</v>
      </c>
      <c r="I58" s="19">
        <v>0</v>
      </c>
      <c r="J58" s="19">
        <v>0</v>
      </c>
      <c r="K58" s="19">
        <v>0</v>
      </c>
      <c r="L58" s="19">
        <v>0</v>
      </c>
      <c r="M58" s="19">
        <f t="shared" si="10"/>
        <v>0</v>
      </c>
      <c r="N58" s="14"/>
      <c r="O58" s="15"/>
      <c r="P58" s="16"/>
    </row>
    <row r="59" spans="1:16" ht="14.25" customHeight="1" x14ac:dyDescent="0.3">
      <c r="A59" s="16"/>
      <c r="B59" s="14" t="s">
        <v>61</v>
      </c>
      <c r="C59" s="15" t="s">
        <v>33</v>
      </c>
      <c r="D59" s="26">
        <v>5.2</v>
      </c>
      <c r="E59" s="16" t="s">
        <v>130</v>
      </c>
      <c r="F59" s="26">
        <v>0.4</v>
      </c>
      <c r="G59" s="19">
        <v>0</v>
      </c>
      <c r="H59" s="26">
        <f t="shared" si="9"/>
        <v>0.4</v>
      </c>
      <c r="I59" s="19">
        <v>0</v>
      </c>
      <c r="J59" s="19">
        <v>0</v>
      </c>
      <c r="K59" s="19">
        <v>0</v>
      </c>
      <c r="L59" s="19">
        <v>0</v>
      </c>
      <c r="M59" s="19">
        <f t="shared" si="10"/>
        <v>0</v>
      </c>
      <c r="N59" s="14"/>
      <c r="O59" s="15"/>
      <c r="P59" s="16"/>
    </row>
    <row r="60" spans="1:16" ht="14.25" customHeight="1" x14ac:dyDescent="0.3">
      <c r="A60" s="16"/>
      <c r="B60" s="14" t="s">
        <v>62</v>
      </c>
      <c r="C60" s="15" t="s">
        <v>32</v>
      </c>
      <c r="D60" s="26">
        <v>0.25</v>
      </c>
      <c r="E60" s="16" t="s">
        <v>131</v>
      </c>
      <c r="F60" s="26">
        <v>0.1</v>
      </c>
      <c r="G60" s="19">
        <v>0</v>
      </c>
      <c r="H60" s="26">
        <f t="shared" ref="H60:H62" si="11">SUM(F60:G60)</f>
        <v>0.1</v>
      </c>
      <c r="I60" s="19">
        <v>0</v>
      </c>
      <c r="J60" s="19">
        <v>0</v>
      </c>
      <c r="K60" s="19">
        <v>0</v>
      </c>
      <c r="L60" s="19">
        <v>0</v>
      </c>
      <c r="M60" s="19">
        <f t="shared" ref="M60:M62" si="12">SUM(I60:L60)</f>
        <v>0</v>
      </c>
      <c r="N60" s="14"/>
      <c r="O60" s="15"/>
      <c r="P60" s="16"/>
    </row>
    <row r="61" spans="1:16" ht="14.25" customHeight="1" x14ac:dyDescent="0.3">
      <c r="A61" s="16"/>
      <c r="B61" s="14">
        <v>9</v>
      </c>
      <c r="C61" s="15" t="s">
        <v>30</v>
      </c>
      <c r="D61" s="26">
        <v>9.5</v>
      </c>
      <c r="E61" s="16" t="s">
        <v>130</v>
      </c>
      <c r="F61" s="26">
        <v>2</v>
      </c>
      <c r="G61" s="19">
        <v>0</v>
      </c>
      <c r="H61" s="26">
        <f t="shared" si="11"/>
        <v>2</v>
      </c>
      <c r="I61" s="19">
        <v>0</v>
      </c>
      <c r="J61" s="19">
        <v>0</v>
      </c>
      <c r="K61" s="19">
        <v>0</v>
      </c>
      <c r="L61" s="19">
        <v>0</v>
      </c>
      <c r="M61" s="19">
        <f t="shared" si="12"/>
        <v>0</v>
      </c>
      <c r="N61" s="14"/>
      <c r="O61" s="15"/>
      <c r="P61" s="16"/>
    </row>
    <row r="62" spans="1:16" ht="14.25" customHeight="1" x14ac:dyDescent="0.3">
      <c r="A62" s="16"/>
      <c r="B62" s="14" t="s">
        <v>64</v>
      </c>
      <c r="C62" s="15" t="s">
        <v>31</v>
      </c>
      <c r="D62" s="26">
        <v>4</v>
      </c>
      <c r="E62" s="16" t="s">
        <v>129</v>
      </c>
      <c r="F62" s="26">
        <v>0.1</v>
      </c>
      <c r="G62" s="19">
        <v>0</v>
      </c>
      <c r="H62" s="26">
        <f t="shared" si="11"/>
        <v>0.1</v>
      </c>
      <c r="I62" s="19">
        <v>0</v>
      </c>
      <c r="J62" s="19">
        <v>0</v>
      </c>
      <c r="K62" s="19">
        <v>0</v>
      </c>
      <c r="L62" s="19">
        <v>0</v>
      </c>
      <c r="M62" s="19">
        <f t="shared" si="12"/>
        <v>0</v>
      </c>
      <c r="N62" s="14"/>
      <c r="O62" s="15"/>
      <c r="P62" s="16"/>
    </row>
    <row r="63" spans="1:16" ht="14.25" customHeight="1" x14ac:dyDescent="0.3">
      <c r="A63" s="6"/>
      <c r="B63" s="9"/>
      <c r="C63" s="11"/>
      <c r="D63" s="6"/>
      <c r="E63" s="6"/>
      <c r="F63" s="7"/>
      <c r="G63" s="7"/>
      <c r="H63" s="7"/>
      <c r="I63" s="7"/>
      <c r="J63" s="7"/>
      <c r="K63" s="7"/>
      <c r="L63" s="7"/>
      <c r="M63" s="7"/>
      <c r="N63" s="9"/>
      <c r="O63" s="11"/>
      <c r="P63" s="6"/>
    </row>
    <row r="64" spans="1:16" x14ac:dyDescent="0.3">
      <c r="F64" s="2"/>
      <c r="G64" s="2"/>
      <c r="H64" s="2"/>
      <c r="I64" s="2"/>
      <c r="J64" s="2"/>
      <c r="K64" s="2"/>
      <c r="L64" s="2"/>
      <c r="M64" s="2"/>
    </row>
  </sheetData>
  <mergeCells count="11">
    <mergeCell ref="A1:P1"/>
    <mergeCell ref="A6:A7"/>
    <mergeCell ref="B6:C6"/>
    <mergeCell ref="D6:D7"/>
    <mergeCell ref="E6:E7"/>
    <mergeCell ref="F6:H6"/>
    <mergeCell ref="I6:M6"/>
    <mergeCell ref="N6:O7"/>
    <mergeCell ref="P6:P7"/>
    <mergeCell ref="B7:C7"/>
    <mergeCell ref="O20:O21"/>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65"/>
  <sheetViews>
    <sheetView topLeftCell="A61" workbookViewId="0">
      <selection activeCell="A66" sqref="A66:XFD76"/>
    </sheetView>
  </sheetViews>
  <sheetFormatPr defaultColWidth="9.1796875" defaultRowHeight="14" x14ac:dyDescent="0.3"/>
  <cols>
    <col min="1" max="1" width="9.1796875" style="1" customWidth="1"/>
    <col min="2" max="2" width="2.1796875" style="1" customWidth="1"/>
    <col min="3" max="3" width="18.81640625" style="1" bestFit="1" customWidth="1"/>
    <col min="4" max="4" width="13.54296875" style="1" customWidth="1"/>
    <col min="5" max="5" width="25.54296875" style="1" customWidth="1"/>
    <col min="6" max="6" width="7.54296875" style="1" bestFit="1" customWidth="1"/>
    <col min="7" max="7" width="8.81640625" style="1" customWidth="1"/>
    <col min="8" max="8" width="7.54296875" style="1" bestFit="1" customWidth="1"/>
    <col min="9" max="9" width="6.453125" style="1" bestFit="1" customWidth="1"/>
    <col min="10" max="10" width="6.81640625" style="1" bestFit="1" customWidth="1"/>
    <col min="11" max="11" width="10" style="1" bestFit="1" customWidth="1"/>
    <col min="12" max="12" width="5.54296875" style="1" bestFit="1" customWidth="1"/>
    <col min="13" max="13" width="6.81640625" style="1" bestFit="1" customWidth="1"/>
    <col min="14" max="14" width="2.1796875" style="1" customWidth="1"/>
    <col min="15" max="15" width="25.453125" style="1" customWidth="1"/>
    <col min="16" max="16" width="12.1796875" style="1" customWidth="1"/>
    <col min="17" max="16384" width="9.1796875" style="1"/>
  </cols>
  <sheetData>
    <row r="1" spans="1:16" x14ac:dyDescent="0.3">
      <c r="A1" s="385" t="s">
        <v>0</v>
      </c>
      <c r="B1" s="385"/>
      <c r="C1" s="385"/>
      <c r="D1" s="385"/>
      <c r="E1" s="385"/>
      <c r="F1" s="385"/>
      <c r="G1" s="385"/>
      <c r="H1" s="385"/>
      <c r="I1" s="385"/>
      <c r="J1" s="385"/>
      <c r="K1" s="385"/>
      <c r="L1" s="385"/>
      <c r="M1" s="385"/>
      <c r="N1" s="385"/>
      <c r="O1" s="385"/>
      <c r="P1" s="385"/>
    </row>
    <row r="2" spans="1:16" ht="14.25" customHeight="1" x14ac:dyDescent="0.3"/>
    <row r="3" spans="1:16" ht="14.25" customHeight="1" x14ac:dyDescent="0.3">
      <c r="A3" s="1" t="s">
        <v>1</v>
      </c>
      <c r="B3" s="1" t="s">
        <v>78</v>
      </c>
      <c r="C3" s="1" t="s">
        <v>77</v>
      </c>
    </row>
    <row r="4" spans="1:16" ht="14.25" customHeight="1" x14ac:dyDescent="0.3">
      <c r="A4" s="1" t="s">
        <v>2</v>
      </c>
      <c r="B4" s="1" t="s">
        <v>78</v>
      </c>
      <c r="C4" s="4" t="s">
        <v>128</v>
      </c>
    </row>
    <row r="6" spans="1:16" x14ac:dyDescent="0.3">
      <c r="A6" s="386" t="s">
        <v>3</v>
      </c>
      <c r="B6" s="388" t="s">
        <v>4</v>
      </c>
      <c r="C6" s="388"/>
      <c r="D6" s="389" t="s">
        <v>6</v>
      </c>
      <c r="E6" s="391" t="s">
        <v>7</v>
      </c>
      <c r="F6" s="393" t="s">
        <v>8</v>
      </c>
      <c r="G6" s="393"/>
      <c r="H6" s="393"/>
      <c r="I6" s="393" t="s">
        <v>12</v>
      </c>
      <c r="J6" s="393"/>
      <c r="K6" s="393"/>
      <c r="L6" s="393"/>
      <c r="M6" s="393"/>
      <c r="N6" s="391" t="s">
        <v>17</v>
      </c>
      <c r="O6" s="391"/>
      <c r="P6" s="386" t="s">
        <v>18</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ht="14.25" customHeight="1" x14ac:dyDescent="0.3">
      <c r="A9" s="13">
        <v>1</v>
      </c>
      <c r="B9" s="14" t="s">
        <v>20</v>
      </c>
      <c r="C9" s="15"/>
      <c r="D9" s="16"/>
      <c r="E9" s="47"/>
      <c r="F9" s="16"/>
      <c r="G9" s="16"/>
      <c r="H9" s="16"/>
      <c r="I9" s="16"/>
      <c r="J9" s="16"/>
      <c r="K9" s="16"/>
      <c r="L9" s="16"/>
      <c r="M9" s="16"/>
      <c r="N9" s="35"/>
      <c r="O9" s="36"/>
      <c r="P9" s="16"/>
    </row>
    <row r="10" spans="1:16" ht="14.25" customHeight="1" x14ac:dyDescent="0.3">
      <c r="A10" s="13"/>
      <c r="B10" s="17" t="s">
        <v>57</v>
      </c>
      <c r="C10" s="15" t="s">
        <v>21</v>
      </c>
      <c r="D10" s="18">
        <v>403.56</v>
      </c>
      <c r="E10" s="47" t="s">
        <v>36</v>
      </c>
      <c r="F10" s="19">
        <v>0</v>
      </c>
      <c r="G10" s="19">
        <v>30</v>
      </c>
      <c r="H10" s="19">
        <f>SUM(F10:G10)</f>
        <v>30</v>
      </c>
      <c r="I10" s="19">
        <v>0</v>
      </c>
      <c r="J10" s="19">
        <v>5</v>
      </c>
      <c r="K10" s="19">
        <v>10</v>
      </c>
      <c r="L10" s="19"/>
      <c r="M10" s="20">
        <f>SUM(I10:L10)</f>
        <v>15</v>
      </c>
      <c r="N10" s="37"/>
      <c r="O10" s="36"/>
      <c r="P10" s="16"/>
    </row>
    <row r="11" spans="1:16" ht="14.25" customHeight="1" x14ac:dyDescent="0.3">
      <c r="A11" s="13"/>
      <c r="B11" s="14"/>
      <c r="C11" s="15"/>
      <c r="D11" s="18"/>
      <c r="E11" s="47" t="s">
        <v>37</v>
      </c>
      <c r="F11" s="19">
        <v>0</v>
      </c>
      <c r="G11" s="19">
        <v>250</v>
      </c>
      <c r="H11" s="19">
        <f t="shared" ref="H11:H17" si="0">SUM(F11:G11)</f>
        <v>250</v>
      </c>
      <c r="I11" s="19">
        <v>0</v>
      </c>
      <c r="J11" s="19">
        <v>0</v>
      </c>
      <c r="K11" s="19">
        <v>5</v>
      </c>
      <c r="L11" s="19">
        <v>0</v>
      </c>
      <c r="M11" s="20">
        <f t="shared" ref="M11:M17" si="1">SUM(I11:L11)</f>
        <v>5</v>
      </c>
      <c r="N11" s="37" t="s">
        <v>51</v>
      </c>
      <c r="O11" s="38" t="s">
        <v>50</v>
      </c>
      <c r="P11" s="16"/>
    </row>
    <row r="12" spans="1:16" ht="14.25" customHeight="1" x14ac:dyDescent="0.3">
      <c r="A12" s="13"/>
      <c r="B12" s="14"/>
      <c r="C12" s="15"/>
      <c r="D12" s="18"/>
      <c r="E12" s="47" t="s">
        <v>38</v>
      </c>
      <c r="F12" s="19">
        <v>0</v>
      </c>
      <c r="G12" s="19">
        <v>265</v>
      </c>
      <c r="H12" s="19">
        <f t="shared" si="0"/>
        <v>265</v>
      </c>
      <c r="I12" s="19">
        <v>0</v>
      </c>
      <c r="J12" s="19"/>
      <c r="K12" s="19">
        <v>10</v>
      </c>
      <c r="L12" s="19">
        <v>0</v>
      </c>
      <c r="M12" s="20">
        <f t="shared" si="1"/>
        <v>10</v>
      </c>
      <c r="N12" s="37" t="s">
        <v>51</v>
      </c>
      <c r="O12" s="36" t="s">
        <v>49</v>
      </c>
      <c r="P12" s="16"/>
    </row>
    <row r="13" spans="1:16" ht="14.25" customHeight="1" x14ac:dyDescent="0.3">
      <c r="A13" s="13"/>
      <c r="B13" s="14"/>
      <c r="C13" s="15"/>
      <c r="D13" s="18"/>
      <c r="E13" s="48" t="s">
        <v>39</v>
      </c>
      <c r="F13" s="22">
        <v>50</v>
      </c>
      <c r="G13" s="22">
        <v>0</v>
      </c>
      <c r="H13" s="22">
        <f t="shared" si="0"/>
        <v>50</v>
      </c>
      <c r="I13" s="22">
        <v>0</v>
      </c>
      <c r="J13" s="22">
        <v>0</v>
      </c>
      <c r="K13" s="22">
        <v>0</v>
      </c>
      <c r="L13" s="22">
        <v>0</v>
      </c>
      <c r="M13" s="23">
        <f t="shared" si="1"/>
        <v>0</v>
      </c>
      <c r="N13" s="39" t="s">
        <v>51</v>
      </c>
      <c r="O13" s="40" t="s">
        <v>48</v>
      </c>
      <c r="P13" s="16"/>
    </row>
    <row r="14" spans="1:16" ht="14.25" customHeight="1" x14ac:dyDescent="0.3">
      <c r="A14" s="13"/>
      <c r="B14" s="17" t="s">
        <v>58</v>
      </c>
      <c r="C14" s="15" t="s">
        <v>22</v>
      </c>
      <c r="D14" s="18">
        <v>498</v>
      </c>
      <c r="E14" s="47" t="s">
        <v>36</v>
      </c>
      <c r="F14" s="19">
        <v>0</v>
      </c>
      <c r="G14" s="19">
        <v>35</v>
      </c>
      <c r="H14" s="19">
        <f t="shared" si="0"/>
        <v>35</v>
      </c>
      <c r="I14" s="19">
        <v>0</v>
      </c>
      <c r="J14" s="19">
        <v>5</v>
      </c>
      <c r="K14" s="19">
        <v>0</v>
      </c>
      <c r="L14" s="19">
        <v>0</v>
      </c>
      <c r="M14" s="20">
        <f t="shared" si="1"/>
        <v>5</v>
      </c>
      <c r="N14" s="35"/>
      <c r="O14" s="41"/>
      <c r="P14" s="16"/>
    </row>
    <row r="15" spans="1:16" ht="14.25" customHeight="1" x14ac:dyDescent="0.3">
      <c r="A15" s="13"/>
      <c r="B15" s="14"/>
      <c r="C15" s="15"/>
      <c r="D15" s="26"/>
      <c r="E15" s="47" t="s">
        <v>37</v>
      </c>
      <c r="F15" s="19">
        <v>0</v>
      </c>
      <c r="G15" s="19">
        <v>350</v>
      </c>
      <c r="H15" s="19">
        <f t="shared" si="0"/>
        <v>350</v>
      </c>
      <c r="I15" s="19">
        <v>0</v>
      </c>
      <c r="J15" s="19">
        <v>0</v>
      </c>
      <c r="K15" s="19">
        <v>0</v>
      </c>
      <c r="L15" s="19">
        <v>0</v>
      </c>
      <c r="M15" s="20">
        <f t="shared" si="1"/>
        <v>0</v>
      </c>
      <c r="N15" s="35"/>
      <c r="O15" s="36"/>
      <c r="P15" s="16"/>
    </row>
    <row r="16" spans="1:16" ht="14.25" customHeight="1" x14ac:dyDescent="0.3">
      <c r="A16" s="13"/>
      <c r="B16" s="14"/>
      <c r="C16" s="15"/>
      <c r="D16" s="26"/>
      <c r="E16" s="47" t="s">
        <v>38</v>
      </c>
      <c r="F16" s="19">
        <v>0</v>
      </c>
      <c r="G16" s="19">
        <v>500</v>
      </c>
      <c r="H16" s="19">
        <f t="shared" si="0"/>
        <v>500</v>
      </c>
      <c r="I16" s="19">
        <v>0</v>
      </c>
      <c r="J16" s="19">
        <v>0</v>
      </c>
      <c r="K16" s="19">
        <v>0</v>
      </c>
      <c r="L16" s="19">
        <v>0</v>
      </c>
      <c r="M16" s="20">
        <f t="shared" si="1"/>
        <v>0</v>
      </c>
      <c r="N16" s="35"/>
      <c r="O16" s="36"/>
      <c r="P16" s="16"/>
    </row>
    <row r="17" spans="1:16" ht="14.25" customHeight="1" x14ac:dyDescent="0.3">
      <c r="A17" s="13"/>
      <c r="B17" s="14"/>
      <c r="C17" s="15"/>
      <c r="D17" s="26"/>
      <c r="E17" s="49" t="s">
        <v>39</v>
      </c>
      <c r="F17" s="22">
        <v>50</v>
      </c>
      <c r="G17" s="22">
        <v>0</v>
      </c>
      <c r="H17" s="22">
        <f t="shared" si="0"/>
        <v>50</v>
      </c>
      <c r="I17" s="22">
        <v>0</v>
      </c>
      <c r="J17" s="22">
        <v>0</v>
      </c>
      <c r="K17" s="22">
        <v>0</v>
      </c>
      <c r="L17" s="22">
        <v>0</v>
      </c>
      <c r="M17" s="23">
        <f t="shared" si="1"/>
        <v>0</v>
      </c>
      <c r="N17" s="42"/>
      <c r="O17" s="38"/>
      <c r="P17" s="29"/>
    </row>
    <row r="18" spans="1:16" ht="14.25" customHeight="1" x14ac:dyDescent="0.3">
      <c r="A18" s="13"/>
      <c r="B18" s="14"/>
      <c r="C18" s="15"/>
      <c r="D18" s="26"/>
      <c r="E18" s="47"/>
      <c r="F18" s="16"/>
      <c r="G18" s="16"/>
      <c r="H18" s="16"/>
      <c r="I18" s="16"/>
      <c r="J18" s="16"/>
      <c r="K18" s="16"/>
      <c r="L18" s="16"/>
      <c r="M18" s="16"/>
      <c r="N18" s="35"/>
      <c r="O18" s="36"/>
      <c r="P18" s="16"/>
    </row>
    <row r="19" spans="1:16" ht="14.25" customHeight="1" x14ac:dyDescent="0.3">
      <c r="A19" s="13">
        <v>2</v>
      </c>
      <c r="B19" s="14" t="s">
        <v>23</v>
      </c>
      <c r="C19" s="15"/>
      <c r="D19" s="26"/>
      <c r="E19" s="47"/>
      <c r="F19" s="16"/>
      <c r="G19" s="16"/>
      <c r="H19" s="16"/>
      <c r="I19" s="16"/>
      <c r="J19" s="16"/>
      <c r="K19" s="16"/>
      <c r="L19" s="16"/>
      <c r="M19" s="16"/>
      <c r="N19" s="35"/>
      <c r="O19" s="36"/>
      <c r="P19" s="16"/>
    </row>
    <row r="20" spans="1:16" ht="14.25" customHeight="1" x14ac:dyDescent="0.3">
      <c r="A20" s="13"/>
      <c r="B20" s="14" t="s">
        <v>57</v>
      </c>
      <c r="C20" s="15" t="s">
        <v>22</v>
      </c>
      <c r="D20" s="26">
        <v>198</v>
      </c>
      <c r="E20" s="47" t="s">
        <v>40</v>
      </c>
      <c r="F20" s="19">
        <v>0</v>
      </c>
      <c r="G20" s="19">
        <v>150</v>
      </c>
      <c r="H20" s="19">
        <f t="shared" ref="H20:H21" si="2">SUM(F20:G20)</f>
        <v>150</v>
      </c>
      <c r="I20" s="19">
        <v>0</v>
      </c>
      <c r="J20" s="19">
        <v>15</v>
      </c>
      <c r="K20" s="19">
        <v>5</v>
      </c>
      <c r="L20" s="19">
        <v>0</v>
      </c>
      <c r="M20" s="20">
        <f t="shared" ref="M20:M21" si="3">SUM(I20:L20)</f>
        <v>20</v>
      </c>
      <c r="N20" s="37" t="s">
        <v>51</v>
      </c>
      <c r="O20" s="399" t="s">
        <v>54</v>
      </c>
      <c r="P20" s="16"/>
    </row>
    <row r="21" spans="1:16" ht="16.5" customHeight="1" x14ac:dyDescent="0.3">
      <c r="A21" s="13"/>
      <c r="B21" s="14"/>
      <c r="C21" s="15"/>
      <c r="D21" s="26"/>
      <c r="E21" s="47"/>
      <c r="F21" s="19"/>
      <c r="G21" s="19">
        <v>0</v>
      </c>
      <c r="H21" s="19">
        <f t="shared" si="2"/>
        <v>0</v>
      </c>
      <c r="I21" s="19">
        <v>0</v>
      </c>
      <c r="J21" s="19">
        <v>0</v>
      </c>
      <c r="K21" s="19">
        <v>0</v>
      </c>
      <c r="L21" s="19">
        <v>0</v>
      </c>
      <c r="M21" s="20">
        <f t="shared" si="3"/>
        <v>0</v>
      </c>
      <c r="N21" s="35"/>
      <c r="O21" s="400"/>
      <c r="P21" s="16"/>
    </row>
    <row r="22" spans="1:16" ht="14.25" customHeight="1" x14ac:dyDescent="0.3">
      <c r="A22" s="13"/>
      <c r="B22" s="14"/>
      <c r="C22" s="15"/>
      <c r="D22" s="26"/>
      <c r="E22" s="47"/>
      <c r="F22" s="19"/>
      <c r="G22" s="19"/>
      <c r="H22" s="19"/>
      <c r="I22" s="19"/>
      <c r="J22" s="19"/>
      <c r="K22" s="19"/>
      <c r="L22" s="19"/>
      <c r="M22" s="19"/>
      <c r="N22" s="35"/>
      <c r="O22" s="36"/>
      <c r="P22" s="16"/>
    </row>
    <row r="23" spans="1:16" ht="14.25" customHeight="1" x14ac:dyDescent="0.3">
      <c r="A23" s="13">
        <v>3</v>
      </c>
      <c r="B23" s="14" t="s">
        <v>19</v>
      </c>
      <c r="C23" s="15"/>
      <c r="D23" s="26"/>
      <c r="E23" s="47"/>
      <c r="F23" s="19"/>
      <c r="G23" s="19"/>
      <c r="H23" s="19"/>
      <c r="I23" s="19"/>
      <c r="J23" s="19"/>
      <c r="K23" s="19"/>
      <c r="L23" s="19"/>
      <c r="M23" s="19"/>
      <c r="N23" s="35"/>
      <c r="O23" s="36"/>
      <c r="P23" s="16"/>
    </row>
    <row r="24" spans="1:16" ht="14.25" customHeight="1" x14ac:dyDescent="0.3">
      <c r="A24" s="13"/>
      <c r="B24" s="14" t="s">
        <v>57</v>
      </c>
      <c r="C24" s="15" t="s">
        <v>24</v>
      </c>
      <c r="D24" s="26">
        <v>1372.2</v>
      </c>
      <c r="E24" s="50" t="s">
        <v>52</v>
      </c>
      <c r="F24" s="19">
        <v>0</v>
      </c>
      <c r="G24" s="26">
        <v>137.22</v>
      </c>
      <c r="H24" s="26">
        <f>SUM(F24:G24)</f>
        <v>137.22</v>
      </c>
      <c r="I24" s="19">
        <v>0</v>
      </c>
      <c r="J24" s="19">
        <v>5</v>
      </c>
      <c r="K24" s="19">
        <v>0</v>
      </c>
      <c r="L24" s="19">
        <v>0</v>
      </c>
      <c r="M24" s="19">
        <f>SUM(I24:L24)</f>
        <v>5</v>
      </c>
      <c r="N24" s="35"/>
      <c r="O24" s="36" t="s">
        <v>148</v>
      </c>
      <c r="P24" s="16"/>
    </row>
    <row r="25" spans="1:16" ht="14.25" customHeight="1" x14ac:dyDescent="0.3">
      <c r="A25" s="13"/>
      <c r="B25" s="14" t="s">
        <v>58</v>
      </c>
      <c r="C25" s="15" t="s">
        <v>25</v>
      </c>
      <c r="D25" s="26">
        <v>995.2</v>
      </c>
      <c r="E25" s="50" t="s">
        <v>52</v>
      </c>
      <c r="F25" s="19">
        <v>0</v>
      </c>
      <c r="G25" s="26">
        <v>99.52</v>
      </c>
      <c r="H25" s="26">
        <f t="shared" ref="H25:H44" si="4">SUM(F25:G25)</f>
        <v>99.52</v>
      </c>
      <c r="I25" s="19">
        <v>0</v>
      </c>
      <c r="J25" s="19">
        <v>0</v>
      </c>
      <c r="K25" s="19">
        <v>4</v>
      </c>
      <c r="L25" s="19">
        <v>0</v>
      </c>
      <c r="M25" s="19">
        <f t="shared" ref="M25:M44" si="5">SUM(I25:L25)</f>
        <v>4</v>
      </c>
      <c r="N25" s="35"/>
      <c r="O25" s="36" t="s">
        <v>149</v>
      </c>
      <c r="P25" s="16"/>
    </row>
    <row r="26" spans="1:16" ht="14.25" customHeight="1" x14ac:dyDescent="0.3">
      <c r="A26" s="13"/>
      <c r="B26" s="14" t="s">
        <v>59</v>
      </c>
      <c r="C26" s="15" t="s">
        <v>26</v>
      </c>
      <c r="D26" s="26">
        <v>716.5</v>
      </c>
      <c r="E26" s="50" t="s">
        <v>52</v>
      </c>
      <c r="F26" s="19">
        <v>0</v>
      </c>
      <c r="G26" s="26">
        <v>72.650000000000006</v>
      </c>
      <c r="H26" s="26">
        <f t="shared" si="4"/>
        <v>72.650000000000006</v>
      </c>
      <c r="I26" s="19">
        <v>0</v>
      </c>
      <c r="J26" s="19">
        <v>0</v>
      </c>
      <c r="K26" s="19">
        <v>0</v>
      </c>
      <c r="L26" s="19">
        <v>0</v>
      </c>
      <c r="M26" s="19">
        <f t="shared" si="5"/>
        <v>0</v>
      </c>
      <c r="N26" s="35"/>
      <c r="O26" s="36" t="s">
        <v>150</v>
      </c>
      <c r="P26" s="16"/>
    </row>
    <row r="27" spans="1:16" ht="14.25" customHeight="1" x14ac:dyDescent="0.3">
      <c r="A27" s="13"/>
      <c r="B27" s="14" t="s">
        <v>60</v>
      </c>
      <c r="C27" s="15" t="s">
        <v>55</v>
      </c>
      <c r="D27" s="26">
        <v>955.3</v>
      </c>
      <c r="E27" s="50" t="s">
        <v>52</v>
      </c>
      <c r="F27" s="19">
        <v>0</v>
      </c>
      <c r="G27" s="26">
        <v>95</v>
      </c>
      <c r="H27" s="26">
        <f t="shared" si="4"/>
        <v>95</v>
      </c>
      <c r="I27" s="19">
        <v>0</v>
      </c>
      <c r="J27" s="19">
        <v>0</v>
      </c>
      <c r="K27" s="19">
        <v>0</v>
      </c>
      <c r="L27" s="19">
        <v>0</v>
      </c>
      <c r="M27" s="19">
        <f t="shared" si="5"/>
        <v>0</v>
      </c>
      <c r="N27" s="35"/>
      <c r="O27" s="36" t="s">
        <v>151</v>
      </c>
      <c r="P27" s="16"/>
    </row>
    <row r="28" spans="1:16" ht="14.25" customHeight="1" x14ac:dyDescent="0.3">
      <c r="A28" s="13"/>
      <c r="B28" s="14" t="s">
        <v>61</v>
      </c>
      <c r="C28" s="15" t="s">
        <v>27</v>
      </c>
      <c r="D28" s="26">
        <v>901.2</v>
      </c>
      <c r="E28" s="50" t="s">
        <v>52</v>
      </c>
      <c r="F28" s="19">
        <v>0</v>
      </c>
      <c r="G28" s="26">
        <v>90</v>
      </c>
      <c r="H28" s="26">
        <f t="shared" si="4"/>
        <v>90</v>
      </c>
      <c r="I28" s="19">
        <v>0</v>
      </c>
      <c r="J28" s="19">
        <v>0</v>
      </c>
      <c r="K28" s="19">
        <v>0</v>
      </c>
      <c r="L28" s="19">
        <v>0</v>
      </c>
      <c r="M28" s="19">
        <f t="shared" si="5"/>
        <v>0</v>
      </c>
      <c r="N28" s="35"/>
      <c r="O28" s="51" t="s">
        <v>162</v>
      </c>
      <c r="P28" s="16"/>
    </row>
    <row r="29" spans="1:16" ht="14.25" customHeight="1" x14ac:dyDescent="0.3">
      <c r="A29" s="13"/>
      <c r="B29" s="14" t="s">
        <v>62</v>
      </c>
      <c r="C29" s="15" t="s">
        <v>28</v>
      </c>
      <c r="D29" s="26">
        <v>871</v>
      </c>
      <c r="E29" s="50" t="s">
        <v>52</v>
      </c>
      <c r="F29" s="19">
        <v>0</v>
      </c>
      <c r="G29" s="26">
        <v>87</v>
      </c>
      <c r="H29" s="26">
        <f t="shared" si="4"/>
        <v>87</v>
      </c>
      <c r="I29" s="19">
        <v>0</v>
      </c>
      <c r="J29" s="19">
        <v>0</v>
      </c>
      <c r="K29" s="19">
        <v>0</v>
      </c>
      <c r="L29" s="19">
        <v>0</v>
      </c>
      <c r="M29" s="19">
        <f t="shared" si="5"/>
        <v>0</v>
      </c>
      <c r="N29" s="35"/>
      <c r="O29" s="36" t="s">
        <v>152</v>
      </c>
      <c r="P29" s="16"/>
    </row>
    <row r="30" spans="1:16" ht="14.25" customHeight="1" x14ac:dyDescent="0.3">
      <c r="A30" s="13"/>
      <c r="B30" s="14" t="s">
        <v>63</v>
      </c>
      <c r="C30" s="15" t="s">
        <v>29</v>
      </c>
      <c r="D30" s="26">
        <v>1516</v>
      </c>
      <c r="E30" s="50" t="s">
        <v>52</v>
      </c>
      <c r="F30" s="19">
        <v>0</v>
      </c>
      <c r="G30" s="26">
        <v>151.5</v>
      </c>
      <c r="H30" s="26">
        <f t="shared" si="4"/>
        <v>151.5</v>
      </c>
      <c r="I30" s="19">
        <v>0</v>
      </c>
      <c r="J30" s="19">
        <v>0</v>
      </c>
      <c r="K30" s="19">
        <v>0</v>
      </c>
      <c r="L30" s="19">
        <v>0</v>
      </c>
      <c r="M30" s="19">
        <f t="shared" si="5"/>
        <v>0</v>
      </c>
      <c r="N30" s="35"/>
      <c r="O30" s="36" t="s">
        <v>153</v>
      </c>
      <c r="P30" s="16"/>
    </row>
    <row r="31" spans="1:16" ht="14.25" customHeight="1" x14ac:dyDescent="0.3">
      <c r="A31" s="13"/>
      <c r="B31" s="14" t="s">
        <v>64</v>
      </c>
      <c r="C31" s="15" t="s">
        <v>56</v>
      </c>
      <c r="D31" s="26">
        <v>97.2</v>
      </c>
      <c r="E31" s="50" t="s">
        <v>52</v>
      </c>
      <c r="F31" s="19">
        <v>0</v>
      </c>
      <c r="G31" s="26">
        <v>9.5</v>
      </c>
      <c r="H31" s="26">
        <f t="shared" si="4"/>
        <v>9.5</v>
      </c>
      <c r="I31" s="19">
        <v>0</v>
      </c>
      <c r="J31" s="19">
        <v>0</v>
      </c>
      <c r="K31" s="19">
        <v>0</v>
      </c>
      <c r="L31" s="19">
        <v>0</v>
      </c>
      <c r="M31" s="19">
        <f t="shared" si="5"/>
        <v>0</v>
      </c>
      <c r="N31" s="35"/>
      <c r="O31" s="36" t="s">
        <v>154</v>
      </c>
      <c r="P31" s="16"/>
    </row>
    <row r="32" spans="1:16" ht="14.25" customHeight="1" x14ac:dyDescent="0.3">
      <c r="A32" s="13"/>
      <c r="B32" s="14" t="s">
        <v>65</v>
      </c>
      <c r="C32" s="15" t="s">
        <v>30</v>
      </c>
      <c r="D32" s="26">
        <v>1502.3</v>
      </c>
      <c r="E32" s="50" t="s">
        <v>52</v>
      </c>
      <c r="F32" s="19">
        <v>0</v>
      </c>
      <c r="G32" s="26">
        <v>150</v>
      </c>
      <c r="H32" s="26">
        <f t="shared" si="4"/>
        <v>150</v>
      </c>
      <c r="I32" s="19">
        <v>0</v>
      </c>
      <c r="J32" s="19">
        <v>0</v>
      </c>
      <c r="K32" s="19">
        <v>0</v>
      </c>
      <c r="L32" s="19">
        <v>0</v>
      </c>
      <c r="M32" s="19">
        <f t="shared" si="5"/>
        <v>0</v>
      </c>
      <c r="N32" s="35"/>
      <c r="O32" s="36" t="s">
        <v>155</v>
      </c>
      <c r="P32" s="16"/>
    </row>
    <row r="33" spans="1:16" ht="14.25" customHeight="1" x14ac:dyDescent="0.3">
      <c r="A33" s="13"/>
      <c r="B33" s="14" t="s">
        <v>66</v>
      </c>
      <c r="C33" s="15" t="s">
        <v>31</v>
      </c>
      <c r="D33" s="26">
        <v>1518</v>
      </c>
      <c r="E33" s="50" t="s">
        <v>52</v>
      </c>
      <c r="F33" s="19">
        <v>0</v>
      </c>
      <c r="G33" s="26">
        <v>151</v>
      </c>
      <c r="H33" s="26">
        <f t="shared" si="4"/>
        <v>151</v>
      </c>
      <c r="I33" s="19">
        <v>0</v>
      </c>
      <c r="J33" s="19">
        <v>0</v>
      </c>
      <c r="K33" s="19">
        <v>0</v>
      </c>
      <c r="L33" s="19">
        <v>0</v>
      </c>
      <c r="M33" s="19">
        <f t="shared" si="5"/>
        <v>0</v>
      </c>
      <c r="N33" s="35"/>
      <c r="O33" s="36" t="s">
        <v>156</v>
      </c>
      <c r="P33" s="16"/>
    </row>
    <row r="34" spans="1:16" ht="14.25" customHeight="1" x14ac:dyDescent="0.3">
      <c r="A34" s="13"/>
      <c r="B34" s="14" t="s">
        <v>67</v>
      </c>
      <c r="C34" s="15" t="s">
        <v>32</v>
      </c>
      <c r="D34" s="26">
        <v>997.4</v>
      </c>
      <c r="E34" s="50" t="s">
        <v>52</v>
      </c>
      <c r="F34" s="19">
        <v>0</v>
      </c>
      <c r="G34" s="26">
        <v>99.5</v>
      </c>
      <c r="H34" s="26">
        <f t="shared" si="4"/>
        <v>99.5</v>
      </c>
      <c r="I34" s="19">
        <v>0</v>
      </c>
      <c r="J34" s="19">
        <v>0</v>
      </c>
      <c r="K34" s="19">
        <v>0</v>
      </c>
      <c r="L34" s="19">
        <v>0</v>
      </c>
      <c r="M34" s="19">
        <f t="shared" si="5"/>
        <v>0</v>
      </c>
      <c r="N34" s="35"/>
      <c r="O34" s="36" t="s">
        <v>157</v>
      </c>
      <c r="P34" s="16"/>
    </row>
    <row r="35" spans="1:16" ht="14.25" customHeight="1" x14ac:dyDescent="0.3">
      <c r="A35" s="13"/>
      <c r="B35" s="14" t="s">
        <v>68</v>
      </c>
      <c r="C35" s="15" t="s">
        <v>33</v>
      </c>
      <c r="D35" s="26">
        <v>1304</v>
      </c>
      <c r="E35" s="50" t="s">
        <v>52</v>
      </c>
      <c r="F35" s="19">
        <v>0</v>
      </c>
      <c r="G35" s="26">
        <v>129</v>
      </c>
      <c r="H35" s="26">
        <f t="shared" si="4"/>
        <v>129</v>
      </c>
      <c r="I35" s="19">
        <v>0</v>
      </c>
      <c r="J35" s="19">
        <v>0</v>
      </c>
      <c r="K35" s="19">
        <v>0</v>
      </c>
      <c r="L35" s="19">
        <v>0</v>
      </c>
      <c r="M35" s="19">
        <f t="shared" si="5"/>
        <v>0</v>
      </c>
      <c r="N35" s="35"/>
      <c r="O35" s="36" t="s">
        <v>158</v>
      </c>
      <c r="P35" s="16"/>
    </row>
    <row r="36" spans="1:16" ht="14.25" customHeight="1" x14ac:dyDescent="0.3">
      <c r="A36" s="13"/>
      <c r="B36" s="14" t="s">
        <v>69</v>
      </c>
      <c r="C36" s="15" t="s">
        <v>34</v>
      </c>
      <c r="D36" s="26">
        <v>1704</v>
      </c>
      <c r="E36" s="50" t="s">
        <v>52</v>
      </c>
      <c r="F36" s="19">
        <v>0</v>
      </c>
      <c r="G36" s="26">
        <v>170</v>
      </c>
      <c r="H36" s="26">
        <f t="shared" si="4"/>
        <v>170</v>
      </c>
      <c r="I36" s="19">
        <v>0</v>
      </c>
      <c r="J36" s="19">
        <v>0</v>
      </c>
      <c r="K36" s="19">
        <v>0</v>
      </c>
      <c r="L36" s="19">
        <v>0</v>
      </c>
      <c r="M36" s="19">
        <f t="shared" si="5"/>
        <v>0</v>
      </c>
      <c r="N36" s="35"/>
      <c r="O36" s="36" t="s">
        <v>159</v>
      </c>
      <c r="P36" s="16"/>
    </row>
    <row r="37" spans="1:16" ht="14.25" customHeight="1" x14ac:dyDescent="0.3">
      <c r="A37" s="13"/>
      <c r="B37" s="14" t="s">
        <v>70</v>
      </c>
      <c r="C37" s="15" t="s">
        <v>35</v>
      </c>
      <c r="D37" s="26">
        <v>1557</v>
      </c>
      <c r="E37" s="50" t="s">
        <v>52</v>
      </c>
      <c r="F37" s="19">
        <v>0</v>
      </c>
      <c r="G37" s="26">
        <v>154</v>
      </c>
      <c r="H37" s="26">
        <f t="shared" si="4"/>
        <v>154</v>
      </c>
      <c r="I37" s="19">
        <v>0</v>
      </c>
      <c r="J37" s="19">
        <v>0</v>
      </c>
      <c r="K37" s="19">
        <v>0</v>
      </c>
      <c r="L37" s="19">
        <v>0</v>
      </c>
      <c r="M37" s="19">
        <f t="shared" si="5"/>
        <v>0</v>
      </c>
      <c r="N37" s="35"/>
      <c r="O37" s="36" t="s">
        <v>160</v>
      </c>
      <c r="P37" s="16"/>
    </row>
    <row r="38" spans="1:16" ht="14.25" customHeight="1" x14ac:dyDescent="0.3">
      <c r="A38" s="13"/>
      <c r="B38" s="14" t="s">
        <v>71</v>
      </c>
      <c r="C38" s="15" t="s">
        <v>21</v>
      </c>
      <c r="D38" s="26">
        <v>1669</v>
      </c>
      <c r="E38" s="50" t="s">
        <v>52</v>
      </c>
      <c r="F38" s="19">
        <v>0</v>
      </c>
      <c r="G38" s="26">
        <v>165</v>
      </c>
      <c r="H38" s="26">
        <f t="shared" si="4"/>
        <v>165</v>
      </c>
      <c r="I38" s="19">
        <v>0</v>
      </c>
      <c r="J38" s="19">
        <v>0</v>
      </c>
      <c r="K38" s="19">
        <v>0</v>
      </c>
      <c r="L38" s="19">
        <v>0</v>
      </c>
      <c r="M38" s="19">
        <f t="shared" si="5"/>
        <v>0</v>
      </c>
      <c r="N38" s="35"/>
      <c r="O38" s="36" t="s">
        <v>161</v>
      </c>
      <c r="P38" s="16"/>
    </row>
    <row r="39" spans="1:16" ht="14.25" customHeight="1" x14ac:dyDescent="0.3">
      <c r="A39" s="13"/>
      <c r="B39" s="14" t="s">
        <v>72</v>
      </c>
      <c r="C39" s="15" t="s">
        <v>42</v>
      </c>
      <c r="D39" s="26">
        <v>773</v>
      </c>
      <c r="E39" s="50" t="s">
        <v>52</v>
      </c>
      <c r="F39" s="19">
        <v>0</v>
      </c>
      <c r="G39" s="26">
        <v>75</v>
      </c>
      <c r="H39" s="26">
        <f t="shared" si="4"/>
        <v>75</v>
      </c>
      <c r="I39" s="19">
        <v>0</v>
      </c>
      <c r="J39" s="19">
        <v>0</v>
      </c>
      <c r="K39" s="19">
        <v>0</v>
      </c>
      <c r="L39" s="19">
        <v>0</v>
      </c>
      <c r="M39" s="19">
        <f t="shared" si="5"/>
        <v>0</v>
      </c>
      <c r="N39" s="35"/>
      <c r="O39" s="36"/>
      <c r="P39" s="16"/>
    </row>
    <row r="40" spans="1:16" ht="14.25" customHeight="1" x14ac:dyDescent="0.3">
      <c r="A40" s="13"/>
      <c r="B40" s="14"/>
      <c r="C40" s="15"/>
      <c r="D40" s="26"/>
      <c r="E40" s="47" t="s">
        <v>45</v>
      </c>
      <c r="F40" s="19">
        <v>0</v>
      </c>
      <c r="G40" s="26">
        <v>65</v>
      </c>
      <c r="H40" s="26">
        <f t="shared" si="4"/>
        <v>65</v>
      </c>
      <c r="I40" s="19">
        <v>0</v>
      </c>
      <c r="J40" s="19">
        <v>0</v>
      </c>
      <c r="K40" s="19">
        <v>0</v>
      </c>
      <c r="L40" s="19">
        <v>0</v>
      </c>
      <c r="M40" s="19">
        <f t="shared" si="5"/>
        <v>0</v>
      </c>
      <c r="N40" s="35"/>
      <c r="O40" s="36"/>
      <c r="P40" s="16"/>
    </row>
    <row r="41" spans="1:16" ht="14.25" customHeight="1" x14ac:dyDescent="0.3">
      <c r="A41" s="13"/>
      <c r="B41" s="14" t="s">
        <v>73</v>
      </c>
      <c r="C41" s="15" t="s">
        <v>22</v>
      </c>
      <c r="D41" s="26">
        <v>1146</v>
      </c>
      <c r="E41" s="50" t="s">
        <v>52</v>
      </c>
      <c r="F41" s="19">
        <v>0</v>
      </c>
      <c r="G41" s="26">
        <v>114</v>
      </c>
      <c r="H41" s="26">
        <f t="shared" si="4"/>
        <v>114</v>
      </c>
      <c r="I41" s="19">
        <v>0</v>
      </c>
      <c r="J41" s="19">
        <v>0</v>
      </c>
      <c r="K41" s="19">
        <v>0</v>
      </c>
      <c r="L41" s="19">
        <v>0</v>
      </c>
      <c r="M41" s="19">
        <f t="shared" si="5"/>
        <v>0</v>
      </c>
      <c r="N41" s="35"/>
      <c r="O41" s="36"/>
      <c r="P41" s="16"/>
    </row>
    <row r="42" spans="1:16" ht="14.25" customHeight="1" x14ac:dyDescent="0.3">
      <c r="A42" s="13"/>
      <c r="B42" s="14"/>
      <c r="C42" s="15"/>
      <c r="D42" s="26"/>
      <c r="E42" s="47" t="s">
        <v>45</v>
      </c>
      <c r="F42" s="19">
        <v>0</v>
      </c>
      <c r="G42" s="26">
        <v>55</v>
      </c>
      <c r="H42" s="26">
        <f t="shared" si="4"/>
        <v>55</v>
      </c>
      <c r="I42" s="19">
        <v>0</v>
      </c>
      <c r="J42" s="19">
        <v>0</v>
      </c>
      <c r="K42" s="19">
        <v>0</v>
      </c>
      <c r="L42" s="19">
        <v>0</v>
      </c>
      <c r="M42" s="19">
        <f t="shared" si="5"/>
        <v>0</v>
      </c>
      <c r="N42" s="35"/>
      <c r="O42" s="36"/>
      <c r="P42" s="16"/>
    </row>
    <row r="43" spans="1:16" ht="14.25" customHeight="1" x14ac:dyDescent="0.3">
      <c r="A43" s="13"/>
      <c r="B43" s="14" t="s">
        <v>74</v>
      </c>
      <c r="C43" s="15" t="s">
        <v>43</v>
      </c>
      <c r="D43" s="26">
        <v>1189</v>
      </c>
      <c r="E43" s="50" t="s">
        <v>52</v>
      </c>
      <c r="F43" s="19">
        <v>0</v>
      </c>
      <c r="G43" s="26">
        <v>115</v>
      </c>
      <c r="H43" s="26">
        <f t="shared" si="4"/>
        <v>115</v>
      </c>
      <c r="I43" s="19">
        <v>0</v>
      </c>
      <c r="J43" s="19">
        <v>0</v>
      </c>
      <c r="K43" s="19">
        <v>0</v>
      </c>
      <c r="L43" s="19">
        <v>0</v>
      </c>
      <c r="M43" s="19">
        <f t="shared" si="5"/>
        <v>0</v>
      </c>
      <c r="N43" s="35"/>
      <c r="O43" s="36"/>
      <c r="P43" s="16"/>
    </row>
    <row r="44" spans="1:16" ht="14.25" customHeight="1" x14ac:dyDescent="0.3">
      <c r="A44" s="13"/>
      <c r="B44" s="14" t="s">
        <v>75</v>
      </c>
      <c r="C44" s="15" t="s">
        <v>44</v>
      </c>
      <c r="D44" s="26">
        <v>1391</v>
      </c>
      <c r="E44" s="50" t="s">
        <v>52</v>
      </c>
      <c r="F44" s="19">
        <v>0</v>
      </c>
      <c r="G44" s="26">
        <v>136</v>
      </c>
      <c r="H44" s="26">
        <f t="shared" si="4"/>
        <v>136</v>
      </c>
      <c r="I44" s="19">
        <v>0</v>
      </c>
      <c r="J44" s="19">
        <v>0</v>
      </c>
      <c r="K44" s="19">
        <v>0</v>
      </c>
      <c r="L44" s="19">
        <v>0</v>
      </c>
      <c r="M44" s="19">
        <f t="shared" si="5"/>
        <v>0</v>
      </c>
      <c r="N44" s="35"/>
      <c r="O44" s="36"/>
      <c r="P44" s="16"/>
    </row>
    <row r="45" spans="1:16" ht="14.25" customHeight="1" x14ac:dyDescent="0.3">
      <c r="A45" s="13"/>
      <c r="B45" s="14"/>
      <c r="C45" s="15"/>
      <c r="D45" s="16"/>
      <c r="E45" s="47"/>
      <c r="F45" s="19"/>
      <c r="G45" s="19"/>
      <c r="H45" s="19"/>
      <c r="I45" s="19"/>
      <c r="J45" s="19"/>
      <c r="K45" s="19"/>
      <c r="L45" s="19"/>
      <c r="M45" s="19"/>
      <c r="N45" s="35"/>
      <c r="O45" s="36"/>
      <c r="P45" s="16"/>
    </row>
    <row r="46" spans="1:16" ht="14.25" customHeight="1" x14ac:dyDescent="0.3">
      <c r="A46" s="13">
        <v>4</v>
      </c>
      <c r="B46" s="14" t="s">
        <v>46</v>
      </c>
      <c r="C46" s="15"/>
      <c r="D46" s="26"/>
      <c r="E46" s="47"/>
      <c r="F46" s="19"/>
      <c r="G46" s="19"/>
      <c r="H46" s="19"/>
      <c r="I46" s="19"/>
      <c r="J46" s="19"/>
      <c r="K46" s="19"/>
      <c r="L46" s="19"/>
      <c r="M46" s="19"/>
      <c r="N46" s="35"/>
      <c r="O46" s="36"/>
      <c r="P46" s="16"/>
    </row>
    <row r="47" spans="1:16" ht="14.25" customHeight="1" x14ac:dyDescent="0.3">
      <c r="A47" s="13"/>
      <c r="B47" s="14" t="s">
        <v>57</v>
      </c>
      <c r="C47" s="15" t="s">
        <v>29</v>
      </c>
      <c r="D47" s="26">
        <v>175</v>
      </c>
      <c r="E47" s="47" t="s">
        <v>76</v>
      </c>
      <c r="F47" s="26">
        <v>15</v>
      </c>
      <c r="G47" s="19">
        <v>0</v>
      </c>
      <c r="H47" s="26">
        <f>SUM(F47:G47)</f>
        <v>15</v>
      </c>
      <c r="I47" s="19">
        <v>0</v>
      </c>
      <c r="J47" s="19">
        <v>0</v>
      </c>
      <c r="K47" s="19">
        <v>0</v>
      </c>
      <c r="L47" s="19">
        <v>0</v>
      </c>
      <c r="M47" s="19">
        <f>SUM(I47:L47)</f>
        <v>0</v>
      </c>
      <c r="N47" s="35"/>
      <c r="O47" s="36" t="s">
        <v>93</v>
      </c>
      <c r="P47" s="16"/>
    </row>
    <row r="48" spans="1:16" ht="14.25" customHeight="1" x14ac:dyDescent="0.3">
      <c r="A48" s="13"/>
      <c r="B48" s="14" t="s">
        <v>58</v>
      </c>
      <c r="C48" s="15" t="s">
        <v>33</v>
      </c>
      <c r="D48" s="26">
        <v>270</v>
      </c>
      <c r="E48" s="47" t="s">
        <v>53</v>
      </c>
      <c r="F48" s="26">
        <v>15</v>
      </c>
      <c r="G48" s="19">
        <v>0</v>
      </c>
      <c r="H48" s="26">
        <f t="shared" ref="H48:H52" si="6">SUM(F48:G48)</f>
        <v>15</v>
      </c>
      <c r="I48" s="19">
        <v>0</v>
      </c>
      <c r="J48" s="19">
        <v>0</v>
      </c>
      <c r="K48" s="19">
        <v>0</v>
      </c>
      <c r="L48" s="19">
        <v>0</v>
      </c>
      <c r="M48" s="19">
        <f t="shared" ref="M48:M52" si="7">SUM(I48:L48)</f>
        <v>0</v>
      </c>
      <c r="N48" s="35"/>
      <c r="O48" s="36" t="s">
        <v>94</v>
      </c>
      <c r="P48" s="16"/>
    </row>
    <row r="49" spans="1:16" ht="14.25" customHeight="1" x14ac:dyDescent="0.3">
      <c r="A49" s="13"/>
      <c r="B49" s="14" t="s">
        <v>59</v>
      </c>
      <c r="C49" s="15" t="s">
        <v>42</v>
      </c>
      <c r="D49" s="26">
        <v>798.93</v>
      </c>
      <c r="E49" s="47"/>
      <c r="F49" s="26">
        <v>75</v>
      </c>
      <c r="G49" s="19">
        <v>0</v>
      </c>
      <c r="H49" s="26">
        <f t="shared" si="6"/>
        <v>75</v>
      </c>
      <c r="I49" s="19">
        <v>0</v>
      </c>
      <c r="J49" s="19">
        <v>5</v>
      </c>
      <c r="K49" s="19">
        <v>0</v>
      </c>
      <c r="L49" s="19">
        <v>0</v>
      </c>
      <c r="M49" s="19">
        <f t="shared" si="7"/>
        <v>5</v>
      </c>
      <c r="N49" s="35"/>
      <c r="O49" s="36"/>
      <c r="P49" s="16"/>
    </row>
    <row r="50" spans="1:16" ht="14.25" customHeight="1" x14ac:dyDescent="0.3">
      <c r="A50" s="13"/>
      <c r="B50" s="14" t="s">
        <v>60</v>
      </c>
      <c r="C50" s="15" t="s">
        <v>21</v>
      </c>
      <c r="D50" s="26">
        <v>1086.55</v>
      </c>
      <c r="E50" s="47"/>
      <c r="F50" s="26">
        <v>100</v>
      </c>
      <c r="G50" s="19">
        <v>0</v>
      </c>
      <c r="H50" s="26">
        <f t="shared" si="6"/>
        <v>100</v>
      </c>
      <c r="I50" s="19">
        <v>0</v>
      </c>
      <c r="J50" s="19">
        <v>5</v>
      </c>
      <c r="K50" s="19">
        <v>0</v>
      </c>
      <c r="L50" s="19">
        <v>0</v>
      </c>
      <c r="M50" s="19">
        <f t="shared" si="7"/>
        <v>5</v>
      </c>
      <c r="N50" s="35"/>
      <c r="O50" s="36"/>
      <c r="P50" s="16"/>
    </row>
    <row r="51" spans="1:16" ht="14.25" customHeight="1" x14ac:dyDescent="0.3">
      <c r="A51" s="16"/>
      <c r="B51" s="14" t="s">
        <v>61</v>
      </c>
      <c r="C51" s="15" t="s">
        <v>22</v>
      </c>
      <c r="D51" s="26">
        <v>1084.55</v>
      </c>
      <c r="E51" s="47"/>
      <c r="F51" s="26">
        <v>103</v>
      </c>
      <c r="G51" s="19">
        <v>0</v>
      </c>
      <c r="H51" s="26">
        <f t="shared" si="6"/>
        <v>103</v>
      </c>
      <c r="I51" s="19">
        <v>0</v>
      </c>
      <c r="J51" s="19">
        <v>5</v>
      </c>
      <c r="K51" s="19">
        <v>0</v>
      </c>
      <c r="L51" s="19">
        <v>0</v>
      </c>
      <c r="M51" s="19">
        <f t="shared" si="7"/>
        <v>5</v>
      </c>
      <c r="N51" s="35"/>
      <c r="O51" s="36"/>
      <c r="P51" s="16"/>
    </row>
    <row r="52" spans="1:16" ht="14.25" customHeight="1" x14ac:dyDescent="0.3">
      <c r="A52" s="16"/>
      <c r="B52" s="14" t="s">
        <v>62</v>
      </c>
      <c r="C52" s="15" t="s">
        <v>43</v>
      </c>
      <c r="D52" s="26">
        <v>33</v>
      </c>
      <c r="E52" s="47"/>
      <c r="F52" s="26">
        <f t="shared" ref="F52" si="8">10/100*D52</f>
        <v>3.3000000000000003</v>
      </c>
      <c r="G52" s="19">
        <v>0</v>
      </c>
      <c r="H52" s="26">
        <f t="shared" si="6"/>
        <v>3.3000000000000003</v>
      </c>
      <c r="I52" s="19">
        <v>0</v>
      </c>
      <c r="J52" s="19">
        <v>0</v>
      </c>
      <c r="K52" s="19">
        <v>0</v>
      </c>
      <c r="L52" s="19">
        <v>0</v>
      </c>
      <c r="M52" s="19">
        <f t="shared" si="7"/>
        <v>0</v>
      </c>
      <c r="N52" s="35"/>
      <c r="O52" s="36"/>
      <c r="P52" s="16"/>
    </row>
    <row r="53" spans="1:16" ht="14.25" customHeight="1" x14ac:dyDescent="0.3">
      <c r="A53" s="16"/>
      <c r="B53" s="14"/>
      <c r="C53" s="15"/>
      <c r="D53" s="26"/>
      <c r="E53" s="47"/>
      <c r="F53" s="26"/>
      <c r="G53" s="19"/>
      <c r="H53" s="26"/>
      <c r="I53" s="19"/>
      <c r="J53" s="19"/>
      <c r="K53" s="19"/>
      <c r="L53" s="19"/>
      <c r="M53" s="19"/>
      <c r="N53" s="35"/>
      <c r="O53" s="36"/>
      <c r="P53" s="16"/>
    </row>
    <row r="54" spans="1:16" ht="14.25" customHeight="1" x14ac:dyDescent="0.3">
      <c r="A54" s="13">
        <v>5</v>
      </c>
      <c r="B54" s="14" t="s">
        <v>96</v>
      </c>
      <c r="C54" s="15"/>
      <c r="D54" s="26"/>
      <c r="E54" s="47"/>
      <c r="F54" s="26"/>
      <c r="G54" s="19"/>
      <c r="H54" s="26"/>
      <c r="I54" s="19"/>
      <c r="J54" s="19"/>
      <c r="K54" s="19"/>
      <c r="L54" s="19"/>
      <c r="M54" s="19"/>
      <c r="N54" s="35"/>
      <c r="O54" s="36"/>
      <c r="P54" s="16"/>
    </row>
    <row r="55" spans="1:16" ht="14.25" customHeight="1" x14ac:dyDescent="0.3">
      <c r="A55" s="16"/>
      <c r="B55" s="14" t="s">
        <v>57</v>
      </c>
      <c r="C55" s="15" t="s">
        <v>22</v>
      </c>
      <c r="D55" s="26">
        <v>9.5</v>
      </c>
      <c r="E55" s="47" t="s">
        <v>163</v>
      </c>
      <c r="F55" s="26">
        <v>2</v>
      </c>
      <c r="G55" s="19">
        <v>0</v>
      </c>
      <c r="H55" s="26">
        <f>SUM(F55:G55)</f>
        <v>2</v>
      </c>
      <c r="I55" s="19">
        <v>0</v>
      </c>
      <c r="J55" s="19">
        <v>1</v>
      </c>
      <c r="K55" s="19">
        <v>0</v>
      </c>
      <c r="L55" s="19">
        <v>0</v>
      </c>
      <c r="M55" s="19">
        <f>SUM(I55:L55)</f>
        <v>1</v>
      </c>
      <c r="N55" s="35"/>
      <c r="O55" s="36" t="s">
        <v>136</v>
      </c>
      <c r="P55" s="16"/>
    </row>
    <row r="56" spans="1:16" ht="14.25" customHeight="1" x14ac:dyDescent="0.3">
      <c r="A56" s="16"/>
      <c r="B56" s="14" t="s">
        <v>58</v>
      </c>
      <c r="C56" s="15" t="s">
        <v>21</v>
      </c>
      <c r="D56" s="26">
        <v>17.11</v>
      </c>
      <c r="E56" s="47" t="s">
        <v>164</v>
      </c>
      <c r="F56" s="26">
        <v>2</v>
      </c>
      <c r="G56" s="19">
        <v>0</v>
      </c>
      <c r="H56" s="26">
        <f t="shared" ref="H56:H62" si="9">SUM(F56:G56)</f>
        <v>2</v>
      </c>
      <c r="I56" s="19">
        <v>0</v>
      </c>
      <c r="J56" s="19">
        <v>2</v>
      </c>
      <c r="K56" s="19">
        <v>0</v>
      </c>
      <c r="L56" s="19">
        <v>0</v>
      </c>
      <c r="M56" s="19">
        <f t="shared" ref="M56:M62" si="10">SUM(I56:L56)</f>
        <v>2</v>
      </c>
      <c r="N56" s="35"/>
      <c r="O56" s="36" t="s">
        <v>50</v>
      </c>
      <c r="P56" s="16"/>
    </row>
    <row r="57" spans="1:16" ht="14.25" customHeight="1" x14ac:dyDescent="0.3">
      <c r="A57" s="16"/>
      <c r="B57" s="14" t="s">
        <v>59</v>
      </c>
      <c r="C57" s="15" t="s">
        <v>43</v>
      </c>
      <c r="D57" s="26">
        <v>17.79</v>
      </c>
      <c r="E57" s="47" t="s">
        <v>163</v>
      </c>
      <c r="F57" s="26">
        <v>1</v>
      </c>
      <c r="G57" s="19">
        <v>0</v>
      </c>
      <c r="H57" s="26">
        <f t="shared" si="9"/>
        <v>1</v>
      </c>
      <c r="I57" s="19">
        <v>0</v>
      </c>
      <c r="J57" s="19">
        <v>0</v>
      </c>
      <c r="K57" s="19">
        <v>1</v>
      </c>
      <c r="L57" s="19">
        <v>0</v>
      </c>
      <c r="M57" s="19">
        <f t="shared" si="10"/>
        <v>1</v>
      </c>
      <c r="N57" s="35"/>
      <c r="O57" s="36" t="s">
        <v>137</v>
      </c>
      <c r="P57" s="16"/>
    </row>
    <row r="58" spans="1:16" ht="14.25" customHeight="1" x14ac:dyDescent="0.3">
      <c r="A58" s="16"/>
      <c r="B58" s="14" t="s">
        <v>60</v>
      </c>
      <c r="C58" s="15" t="s">
        <v>44</v>
      </c>
      <c r="D58" s="26">
        <v>30.5</v>
      </c>
      <c r="E58" s="47" t="s">
        <v>164</v>
      </c>
      <c r="F58" s="26">
        <v>4</v>
      </c>
      <c r="G58" s="19">
        <v>0</v>
      </c>
      <c r="H58" s="26">
        <f t="shared" si="9"/>
        <v>4</v>
      </c>
      <c r="I58" s="19">
        <v>0</v>
      </c>
      <c r="J58" s="19">
        <v>0</v>
      </c>
      <c r="K58" s="19">
        <v>0</v>
      </c>
      <c r="L58" s="19">
        <v>0</v>
      </c>
      <c r="M58" s="19">
        <f t="shared" si="10"/>
        <v>0</v>
      </c>
      <c r="N58" s="35"/>
      <c r="O58" s="36"/>
      <c r="P58" s="16"/>
    </row>
    <row r="59" spans="1:16" ht="14.25" customHeight="1" x14ac:dyDescent="0.3">
      <c r="A59" s="16"/>
      <c r="B59" s="14" t="s">
        <v>61</v>
      </c>
      <c r="C59" s="15" t="s">
        <v>33</v>
      </c>
      <c r="D59" s="26">
        <v>5.2</v>
      </c>
      <c r="E59" s="47" t="s">
        <v>163</v>
      </c>
      <c r="F59" s="26">
        <v>0.4</v>
      </c>
      <c r="G59" s="19">
        <v>0</v>
      </c>
      <c r="H59" s="26">
        <f t="shared" si="9"/>
        <v>0.4</v>
      </c>
      <c r="I59" s="19">
        <v>0</v>
      </c>
      <c r="J59" s="19">
        <v>0</v>
      </c>
      <c r="K59" s="19">
        <v>0</v>
      </c>
      <c r="L59" s="19">
        <v>0</v>
      </c>
      <c r="M59" s="19">
        <f t="shared" si="10"/>
        <v>0</v>
      </c>
      <c r="N59" s="35"/>
      <c r="O59" s="36"/>
      <c r="P59" s="16"/>
    </row>
    <row r="60" spans="1:16" ht="14.25" customHeight="1" x14ac:dyDescent="0.3">
      <c r="A60" s="16"/>
      <c r="B60" s="14" t="s">
        <v>62</v>
      </c>
      <c r="C60" s="15" t="s">
        <v>32</v>
      </c>
      <c r="D60" s="26">
        <v>0.25</v>
      </c>
      <c r="E60" s="47" t="s">
        <v>129</v>
      </c>
      <c r="F60" s="26">
        <v>0.1</v>
      </c>
      <c r="G60" s="19">
        <v>0</v>
      </c>
      <c r="H60" s="26">
        <f t="shared" si="9"/>
        <v>0.1</v>
      </c>
      <c r="I60" s="19">
        <v>0</v>
      </c>
      <c r="J60" s="19">
        <v>0</v>
      </c>
      <c r="K60" s="19">
        <v>0</v>
      </c>
      <c r="L60" s="19">
        <v>0</v>
      </c>
      <c r="M60" s="19">
        <f t="shared" si="10"/>
        <v>0</v>
      </c>
      <c r="N60" s="35"/>
      <c r="O60" s="36"/>
      <c r="P60" s="16"/>
    </row>
    <row r="61" spans="1:16" ht="14.25" customHeight="1" x14ac:dyDescent="0.3">
      <c r="A61" s="16"/>
      <c r="B61" s="14">
        <v>9</v>
      </c>
      <c r="C61" s="15" t="s">
        <v>30</v>
      </c>
      <c r="D61" s="26">
        <v>9.5</v>
      </c>
      <c r="E61" s="47" t="s">
        <v>129</v>
      </c>
      <c r="F61" s="26">
        <v>2</v>
      </c>
      <c r="G61" s="19">
        <v>0</v>
      </c>
      <c r="H61" s="26">
        <f t="shared" si="9"/>
        <v>2</v>
      </c>
      <c r="I61" s="19">
        <v>0</v>
      </c>
      <c r="J61" s="19">
        <v>0</v>
      </c>
      <c r="K61" s="19">
        <v>0</v>
      </c>
      <c r="L61" s="19">
        <v>0</v>
      </c>
      <c r="M61" s="19">
        <f t="shared" si="10"/>
        <v>0</v>
      </c>
      <c r="N61" s="35"/>
      <c r="O61" s="36"/>
      <c r="P61" s="16"/>
    </row>
    <row r="62" spans="1:16" ht="14.25" customHeight="1" x14ac:dyDescent="0.3">
      <c r="A62" s="16"/>
      <c r="B62" s="14" t="s">
        <v>64</v>
      </c>
      <c r="C62" s="15" t="s">
        <v>31</v>
      </c>
      <c r="D62" s="26">
        <v>4</v>
      </c>
      <c r="E62" s="47" t="s">
        <v>135</v>
      </c>
      <c r="F62" s="26">
        <v>0.1</v>
      </c>
      <c r="G62" s="19">
        <v>0</v>
      </c>
      <c r="H62" s="26">
        <f t="shared" si="9"/>
        <v>0.1</v>
      </c>
      <c r="I62" s="19">
        <v>0</v>
      </c>
      <c r="J62" s="19">
        <v>0</v>
      </c>
      <c r="K62" s="19">
        <v>0</v>
      </c>
      <c r="L62" s="19">
        <v>0</v>
      </c>
      <c r="M62" s="19">
        <f t="shared" si="10"/>
        <v>0</v>
      </c>
      <c r="N62" s="35"/>
      <c r="O62" s="36"/>
      <c r="P62" s="16"/>
    </row>
    <row r="63" spans="1:16" ht="14.25" customHeight="1" x14ac:dyDescent="0.3">
      <c r="A63" s="16"/>
      <c r="B63" s="14"/>
      <c r="C63" s="15"/>
      <c r="D63" s="26"/>
      <c r="E63" s="47"/>
      <c r="F63" s="26"/>
      <c r="G63" s="19"/>
      <c r="H63" s="26"/>
      <c r="I63" s="19"/>
      <c r="J63" s="19"/>
      <c r="K63" s="19"/>
      <c r="L63" s="19"/>
      <c r="M63" s="19"/>
      <c r="N63" s="35"/>
      <c r="O63" s="36"/>
      <c r="P63" s="16"/>
    </row>
    <row r="64" spans="1:16" ht="8.25" customHeight="1" x14ac:dyDescent="0.3">
      <c r="A64" s="6"/>
      <c r="B64" s="9"/>
      <c r="C64" s="11"/>
      <c r="D64" s="6"/>
      <c r="E64" s="6"/>
      <c r="F64" s="7"/>
      <c r="G64" s="7"/>
      <c r="H64" s="7"/>
      <c r="I64" s="7"/>
      <c r="J64" s="7"/>
      <c r="K64" s="7"/>
      <c r="L64" s="7"/>
      <c r="M64" s="7"/>
      <c r="N64" s="45"/>
      <c r="O64" s="46"/>
      <c r="P64" s="6"/>
    </row>
    <row r="65" spans="6:13" x14ac:dyDescent="0.3">
      <c r="F65" s="2"/>
      <c r="G65" s="2"/>
      <c r="H65" s="2"/>
      <c r="I65" s="2"/>
      <c r="J65" s="2"/>
      <c r="K65" s="2"/>
      <c r="L65" s="2"/>
      <c r="M65" s="2"/>
    </row>
  </sheetData>
  <mergeCells count="11">
    <mergeCell ref="A1:P1"/>
    <mergeCell ref="A6:A7"/>
    <mergeCell ref="B6:C6"/>
    <mergeCell ref="D6:D7"/>
    <mergeCell ref="E6:E7"/>
    <mergeCell ref="F6:H6"/>
    <mergeCell ref="I6:M6"/>
    <mergeCell ref="N6:O7"/>
    <mergeCell ref="P6:P7"/>
    <mergeCell ref="B7:C7"/>
    <mergeCell ref="O20:O21"/>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P68"/>
  <sheetViews>
    <sheetView topLeftCell="A61" workbookViewId="0">
      <selection activeCell="A69" sqref="A69:XFD79"/>
    </sheetView>
  </sheetViews>
  <sheetFormatPr defaultColWidth="9.1796875" defaultRowHeight="14" x14ac:dyDescent="0.3"/>
  <cols>
    <col min="1" max="1" width="9.1796875" style="1"/>
    <col min="2" max="2" width="2.1796875" style="1" customWidth="1"/>
    <col min="3" max="3" width="18.81640625" style="1" bestFit="1" customWidth="1"/>
    <col min="4" max="4" width="13.54296875" style="1" customWidth="1"/>
    <col min="5" max="5" width="25.1796875" style="1" customWidth="1"/>
    <col min="6" max="6" width="7.54296875" style="1" bestFit="1" customWidth="1"/>
    <col min="7" max="7" width="8.81640625" style="1" customWidth="1"/>
    <col min="8" max="8" width="7.54296875" style="1" bestFit="1" customWidth="1"/>
    <col min="9" max="9" width="6.453125" style="1" bestFit="1" customWidth="1"/>
    <col min="10" max="10" width="6.81640625" style="1" bestFit="1" customWidth="1"/>
    <col min="11" max="11" width="10" style="1" bestFit="1" customWidth="1"/>
    <col min="12" max="12" width="5.54296875" style="1" bestFit="1" customWidth="1"/>
    <col min="13" max="13" width="6.81640625" style="1" bestFit="1" customWidth="1"/>
    <col min="14" max="14" width="2.1796875" style="1" customWidth="1"/>
    <col min="15" max="15" width="25.54296875" style="1" customWidth="1"/>
    <col min="16" max="16" width="12.1796875" style="1" customWidth="1"/>
    <col min="17" max="16384" width="9.1796875" style="1"/>
  </cols>
  <sheetData>
    <row r="1" spans="1:16" x14ac:dyDescent="0.3">
      <c r="A1" s="385" t="s">
        <v>0</v>
      </c>
      <c r="B1" s="385"/>
      <c r="C1" s="385"/>
      <c r="D1" s="385"/>
      <c r="E1" s="385"/>
      <c r="F1" s="385"/>
      <c r="G1" s="385"/>
      <c r="H1" s="385"/>
      <c r="I1" s="385"/>
      <c r="J1" s="385"/>
      <c r="K1" s="385"/>
      <c r="L1" s="385"/>
      <c r="M1" s="385"/>
      <c r="N1" s="385"/>
      <c r="O1" s="385"/>
      <c r="P1" s="385"/>
    </row>
    <row r="2" spans="1:16" ht="14.25" customHeight="1" x14ac:dyDescent="0.3"/>
    <row r="3" spans="1:16" ht="14.25" customHeight="1" x14ac:dyDescent="0.3">
      <c r="A3" s="1" t="s">
        <v>1</v>
      </c>
      <c r="B3" s="1" t="s">
        <v>78</v>
      </c>
      <c r="C3" s="1" t="s">
        <v>77</v>
      </c>
    </row>
    <row r="4" spans="1:16" ht="14.25" customHeight="1" x14ac:dyDescent="0.3">
      <c r="A4" s="1" t="s">
        <v>2</v>
      </c>
      <c r="B4" s="1" t="s">
        <v>78</v>
      </c>
      <c r="C4" s="4" t="s">
        <v>144</v>
      </c>
    </row>
    <row r="5" spans="1:16" ht="9.75" customHeight="1" x14ac:dyDescent="0.3"/>
    <row r="6" spans="1:16" x14ac:dyDescent="0.3">
      <c r="A6" s="386" t="s">
        <v>3</v>
      </c>
      <c r="B6" s="388" t="s">
        <v>4</v>
      </c>
      <c r="C6" s="388"/>
      <c r="D6" s="389" t="s">
        <v>6</v>
      </c>
      <c r="E6" s="391" t="s">
        <v>7</v>
      </c>
      <c r="F6" s="393" t="s">
        <v>8</v>
      </c>
      <c r="G6" s="393"/>
      <c r="H6" s="393"/>
      <c r="I6" s="393" t="s">
        <v>12</v>
      </c>
      <c r="J6" s="393"/>
      <c r="K6" s="393"/>
      <c r="L6" s="393"/>
      <c r="M6" s="393"/>
      <c r="N6" s="391" t="s">
        <v>17</v>
      </c>
      <c r="O6" s="391"/>
      <c r="P6" s="386" t="s">
        <v>18</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ht="14.25" customHeight="1" x14ac:dyDescent="0.3">
      <c r="A9" s="13">
        <v>1</v>
      </c>
      <c r="B9" s="14" t="s">
        <v>20</v>
      </c>
      <c r="C9" s="15"/>
      <c r="D9" s="16"/>
      <c r="E9" s="47"/>
      <c r="F9" s="16"/>
      <c r="G9" s="16"/>
      <c r="H9" s="16"/>
      <c r="I9" s="16"/>
      <c r="J9" s="16"/>
      <c r="K9" s="16"/>
      <c r="L9" s="16"/>
      <c r="M9" s="16"/>
      <c r="N9" s="35"/>
      <c r="O9" s="36"/>
      <c r="P9" s="16"/>
    </row>
    <row r="10" spans="1:16" ht="14.25" customHeight="1" x14ac:dyDescent="0.3">
      <c r="A10" s="13"/>
      <c r="B10" s="17" t="s">
        <v>57</v>
      </c>
      <c r="C10" s="15" t="s">
        <v>21</v>
      </c>
      <c r="D10" s="18">
        <v>403.56</v>
      </c>
      <c r="E10" s="47" t="s">
        <v>36</v>
      </c>
      <c r="F10" s="19">
        <v>0</v>
      </c>
      <c r="G10" s="19">
        <v>25</v>
      </c>
      <c r="H10" s="19">
        <f>SUM(F10:G10)</f>
        <v>25</v>
      </c>
      <c r="I10" s="19">
        <v>0</v>
      </c>
      <c r="J10" s="19">
        <v>5</v>
      </c>
      <c r="K10" s="19">
        <v>10</v>
      </c>
      <c r="L10" s="19"/>
      <c r="M10" s="20">
        <f>SUM(I10:L10)</f>
        <v>15</v>
      </c>
      <c r="N10" s="37"/>
      <c r="O10" s="36"/>
      <c r="P10" s="16"/>
    </row>
    <row r="11" spans="1:16" ht="14.25" customHeight="1" x14ac:dyDescent="0.3">
      <c r="A11" s="13"/>
      <c r="B11" s="14"/>
      <c r="C11" s="15"/>
      <c r="D11" s="18"/>
      <c r="E11" s="47" t="s">
        <v>37</v>
      </c>
      <c r="F11" s="19">
        <v>0</v>
      </c>
      <c r="G11" s="19">
        <v>240</v>
      </c>
      <c r="H11" s="19">
        <f t="shared" ref="H11:H17" si="0">SUM(F11:G11)</f>
        <v>240</v>
      </c>
      <c r="I11" s="19">
        <v>0</v>
      </c>
      <c r="J11" s="19">
        <v>0</v>
      </c>
      <c r="K11" s="19">
        <v>5</v>
      </c>
      <c r="L11" s="19">
        <v>0</v>
      </c>
      <c r="M11" s="20">
        <f t="shared" ref="M11:M17" si="1">SUM(I11:L11)</f>
        <v>5</v>
      </c>
      <c r="N11" s="37" t="s">
        <v>51</v>
      </c>
      <c r="O11" s="38" t="s">
        <v>50</v>
      </c>
      <c r="P11" s="16"/>
    </row>
    <row r="12" spans="1:16" ht="14.25" customHeight="1" x14ac:dyDescent="0.3">
      <c r="A12" s="13"/>
      <c r="B12" s="14"/>
      <c r="C12" s="15"/>
      <c r="D12" s="18"/>
      <c r="E12" s="47" t="s">
        <v>38</v>
      </c>
      <c r="F12" s="19">
        <v>0</v>
      </c>
      <c r="G12" s="19">
        <v>264</v>
      </c>
      <c r="H12" s="19">
        <f t="shared" si="0"/>
        <v>264</v>
      </c>
      <c r="I12" s="19">
        <v>0</v>
      </c>
      <c r="J12" s="19"/>
      <c r="K12" s="19">
        <v>10</v>
      </c>
      <c r="L12" s="19">
        <v>0</v>
      </c>
      <c r="M12" s="20">
        <f t="shared" si="1"/>
        <v>10</v>
      </c>
      <c r="N12" s="37" t="s">
        <v>51</v>
      </c>
      <c r="O12" s="36" t="s">
        <v>49</v>
      </c>
      <c r="P12" s="16"/>
    </row>
    <row r="13" spans="1:16" ht="14.25" customHeight="1" x14ac:dyDescent="0.3">
      <c r="A13" s="13"/>
      <c r="B13" s="14"/>
      <c r="C13" s="15"/>
      <c r="D13" s="18"/>
      <c r="E13" s="48" t="s">
        <v>39</v>
      </c>
      <c r="F13" s="22">
        <v>47</v>
      </c>
      <c r="G13" s="22">
        <v>3</v>
      </c>
      <c r="H13" s="22">
        <f t="shared" si="0"/>
        <v>50</v>
      </c>
      <c r="I13" s="22">
        <v>0</v>
      </c>
      <c r="J13" s="22">
        <v>0</v>
      </c>
      <c r="K13" s="22">
        <v>0</v>
      </c>
      <c r="L13" s="22">
        <v>0</v>
      </c>
      <c r="M13" s="23">
        <f t="shared" si="1"/>
        <v>0</v>
      </c>
      <c r="N13" s="39" t="s">
        <v>51</v>
      </c>
      <c r="O13" s="40" t="s">
        <v>48</v>
      </c>
      <c r="P13" s="16"/>
    </row>
    <row r="14" spans="1:16" ht="14.25" customHeight="1" x14ac:dyDescent="0.3">
      <c r="A14" s="13"/>
      <c r="B14" s="17" t="s">
        <v>58</v>
      </c>
      <c r="C14" s="15" t="s">
        <v>22</v>
      </c>
      <c r="D14" s="18">
        <v>498</v>
      </c>
      <c r="E14" s="47" t="s">
        <v>36</v>
      </c>
      <c r="F14" s="19">
        <v>3</v>
      </c>
      <c r="G14" s="19">
        <v>30</v>
      </c>
      <c r="H14" s="19">
        <f t="shared" si="0"/>
        <v>33</v>
      </c>
      <c r="I14" s="19">
        <v>0</v>
      </c>
      <c r="J14" s="19">
        <v>5</v>
      </c>
      <c r="K14" s="19">
        <v>0</v>
      </c>
      <c r="L14" s="19">
        <v>0</v>
      </c>
      <c r="M14" s="20">
        <f t="shared" si="1"/>
        <v>5</v>
      </c>
      <c r="N14" s="35"/>
      <c r="O14" s="41"/>
      <c r="P14" s="16"/>
    </row>
    <row r="15" spans="1:16" ht="14.25" customHeight="1" x14ac:dyDescent="0.3">
      <c r="A15" s="13"/>
      <c r="B15" s="14"/>
      <c r="C15" s="15"/>
      <c r="D15" s="26"/>
      <c r="E15" s="47" t="s">
        <v>37</v>
      </c>
      <c r="F15" s="19">
        <v>15</v>
      </c>
      <c r="G15" s="19">
        <v>325</v>
      </c>
      <c r="H15" s="19">
        <f t="shared" si="0"/>
        <v>340</v>
      </c>
      <c r="I15" s="19">
        <v>0</v>
      </c>
      <c r="J15" s="19">
        <v>0</v>
      </c>
      <c r="K15" s="19">
        <v>0</v>
      </c>
      <c r="L15" s="19">
        <v>0</v>
      </c>
      <c r="M15" s="20">
        <f t="shared" si="1"/>
        <v>0</v>
      </c>
      <c r="N15" s="35"/>
      <c r="O15" s="36"/>
      <c r="P15" s="16"/>
    </row>
    <row r="16" spans="1:16" ht="14.25" customHeight="1" x14ac:dyDescent="0.3">
      <c r="A16" s="13"/>
      <c r="B16" s="14"/>
      <c r="C16" s="15"/>
      <c r="D16" s="26"/>
      <c r="E16" s="47" t="s">
        <v>38</v>
      </c>
      <c r="F16" s="19">
        <v>100</v>
      </c>
      <c r="G16" s="19">
        <v>400</v>
      </c>
      <c r="H16" s="19">
        <f t="shared" si="0"/>
        <v>500</v>
      </c>
      <c r="I16" s="19">
        <v>0</v>
      </c>
      <c r="J16" s="19">
        <v>0</v>
      </c>
      <c r="K16" s="19">
        <v>0</v>
      </c>
      <c r="L16" s="19">
        <v>0</v>
      </c>
      <c r="M16" s="20">
        <f t="shared" si="1"/>
        <v>0</v>
      </c>
      <c r="N16" s="35"/>
      <c r="O16" s="36"/>
      <c r="P16" s="16"/>
    </row>
    <row r="17" spans="1:16" ht="14.25" customHeight="1" x14ac:dyDescent="0.3">
      <c r="A17" s="13"/>
      <c r="B17" s="14"/>
      <c r="C17" s="15"/>
      <c r="D17" s="26"/>
      <c r="E17" s="49" t="s">
        <v>39</v>
      </c>
      <c r="F17" s="22">
        <v>45</v>
      </c>
      <c r="G17" s="22">
        <v>0</v>
      </c>
      <c r="H17" s="22">
        <f t="shared" si="0"/>
        <v>45</v>
      </c>
      <c r="I17" s="22">
        <v>0</v>
      </c>
      <c r="J17" s="22">
        <v>0</v>
      </c>
      <c r="K17" s="22">
        <v>0</v>
      </c>
      <c r="L17" s="22">
        <v>0</v>
      </c>
      <c r="M17" s="23">
        <f t="shared" si="1"/>
        <v>0</v>
      </c>
      <c r="N17" s="42"/>
      <c r="O17" s="38"/>
      <c r="P17" s="29"/>
    </row>
    <row r="18" spans="1:16" ht="11.25" customHeight="1" x14ac:dyDescent="0.3">
      <c r="A18" s="13"/>
      <c r="B18" s="14"/>
      <c r="C18" s="15"/>
      <c r="D18" s="26"/>
      <c r="E18" s="47"/>
      <c r="F18" s="16"/>
      <c r="G18" s="16"/>
      <c r="H18" s="16"/>
      <c r="I18" s="16"/>
      <c r="J18" s="16"/>
      <c r="K18" s="16"/>
      <c r="L18" s="16"/>
      <c r="M18" s="16"/>
      <c r="N18" s="35"/>
      <c r="O18" s="36"/>
      <c r="P18" s="16"/>
    </row>
    <row r="19" spans="1:16" ht="14.25" customHeight="1" x14ac:dyDescent="0.3">
      <c r="A19" s="13">
        <v>2</v>
      </c>
      <c r="B19" s="14" t="s">
        <v>23</v>
      </c>
      <c r="C19" s="15"/>
      <c r="D19" s="26"/>
      <c r="E19" s="47"/>
      <c r="F19" s="16"/>
      <c r="G19" s="16"/>
      <c r="H19" s="16"/>
      <c r="I19" s="16"/>
      <c r="J19" s="16"/>
      <c r="K19" s="16"/>
      <c r="L19" s="16"/>
      <c r="M19" s="16"/>
      <c r="N19" s="35"/>
      <c r="O19" s="36"/>
      <c r="P19" s="16"/>
    </row>
    <row r="20" spans="1:16" ht="14.25" customHeight="1" x14ac:dyDescent="0.3">
      <c r="A20" s="13"/>
      <c r="B20" s="14" t="s">
        <v>57</v>
      </c>
      <c r="C20" s="15" t="s">
        <v>22</v>
      </c>
      <c r="D20" s="26">
        <v>198</v>
      </c>
      <c r="E20" s="47" t="s">
        <v>40</v>
      </c>
      <c r="F20" s="19">
        <v>0</v>
      </c>
      <c r="G20" s="19">
        <v>145</v>
      </c>
      <c r="H20" s="19">
        <f t="shared" ref="H20:H21" si="2">SUM(F20:G20)</f>
        <v>145</v>
      </c>
      <c r="I20" s="19">
        <v>0</v>
      </c>
      <c r="J20" s="19">
        <v>15</v>
      </c>
      <c r="K20" s="19">
        <v>5</v>
      </c>
      <c r="L20" s="19">
        <v>0</v>
      </c>
      <c r="M20" s="20">
        <f t="shared" ref="M20:M21" si="3">SUM(I20:L20)</f>
        <v>20</v>
      </c>
      <c r="N20" s="37" t="s">
        <v>51</v>
      </c>
      <c r="O20" s="41" t="s">
        <v>168</v>
      </c>
      <c r="P20" s="16"/>
    </row>
    <row r="21" spans="1:16" ht="16.5" customHeight="1" x14ac:dyDescent="0.3">
      <c r="A21" s="13"/>
      <c r="B21" s="14"/>
      <c r="C21" s="15"/>
      <c r="D21" s="26"/>
      <c r="E21" s="47"/>
      <c r="F21" s="19"/>
      <c r="G21" s="19">
        <v>0</v>
      </c>
      <c r="H21" s="19">
        <f t="shared" si="2"/>
        <v>0</v>
      </c>
      <c r="I21" s="19">
        <v>0</v>
      </c>
      <c r="J21" s="19">
        <v>0</v>
      </c>
      <c r="K21" s="19">
        <v>0</v>
      </c>
      <c r="L21" s="19">
        <v>0</v>
      </c>
      <c r="M21" s="20">
        <f t="shared" si="3"/>
        <v>0</v>
      </c>
      <c r="N21" s="35"/>
      <c r="O21" s="41" t="s">
        <v>167</v>
      </c>
      <c r="P21" s="16"/>
    </row>
    <row r="22" spans="1:16" ht="16.5" customHeight="1" x14ac:dyDescent="0.3">
      <c r="A22" s="13"/>
      <c r="B22" s="14"/>
      <c r="C22" s="15"/>
      <c r="D22" s="26"/>
      <c r="E22" s="47"/>
      <c r="F22" s="19"/>
      <c r="G22" s="19"/>
      <c r="H22" s="19"/>
      <c r="I22" s="19"/>
      <c r="J22" s="19"/>
      <c r="K22" s="19"/>
      <c r="L22" s="19"/>
      <c r="M22" s="20"/>
      <c r="N22" s="35" t="s">
        <v>51</v>
      </c>
      <c r="O22" s="399" t="s">
        <v>165</v>
      </c>
      <c r="P22" s="16"/>
    </row>
    <row r="23" spans="1:16" ht="24.75" customHeight="1" x14ac:dyDescent="0.3">
      <c r="A23" s="13"/>
      <c r="B23" s="14"/>
      <c r="C23" s="15"/>
      <c r="D23" s="26"/>
      <c r="E23" s="47"/>
      <c r="F23" s="19"/>
      <c r="G23" s="19"/>
      <c r="H23" s="19"/>
      <c r="I23" s="19"/>
      <c r="J23" s="19"/>
      <c r="K23" s="19"/>
      <c r="L23" s="19"/>
      <c r="M23" s="20"/>
      <c r="N23" s="35"/>
      <c r="O23" s="400"/>
      <c r="P23" s="16"/>
    </row>
    <row r="24" spans="1:16" ht="28.5" customHeight="1" x14ac:dyDescent="0.3">
      <c r="A24" s="13"/>
      <c r="B24" s="14"/>
      <c r="C24" s="15"/>
      <c r="D24" s="26"/>
      <c r="E24" s="47"/>
      <c r="F24" s="19"/>
      <c r="G24" s="19"/>
      <c r="H24" s="19"/>
      <c r="I24" s="19"/>
      <c r="J24" s="19"/>
      <c r="K24" s="19"/>
      <c r="L24" s="19"/>
      <c r="M24" s="20"/>
      <c r="N24" s="42" t="s">
        <v>51</v>
      </c>
      <c r="O24" s="53" t="s">
        <v>166</v>
      </c>
      <c r="P24" s="16"/>
    </row>
    <row r="25" spans="1:16" ht="9.75" customHeight="1" x14ac:dyDescent="0.3">
      <c r="A25" s="13"/>
      <c r="B25" s="14"/>
      <c r="C25" s="15"/>
      <c r="D25" s="26"/>
      <c r="E25" s="47"/>
      <c r="F25" s="19"/>
      <c r="G25" s="19"/>
      <c r="H25" s="19"/>
      <c r="I25" s="19"/>
      <c r="J25" s="19"/>
      <c r="K25" s="19"/>
      <c r="L25" s="19"/>
      <c r="M25" s="19"/>
      <c r="N25" s="35"/>
      <c r="O25" s="36"/>
      <c r="P25" s="16"/>
    </row>
    <row r="26" spans="1:16" ht="14.25" customHeight="1" x14ac:dyDescent="0.3">
      <c r="A26" s="13">
        <v>3</v>
      </c>
      <c r="B26" s="14" t="s">
        <v>19</v>
      </c>
      <c r="C26" s="15"/>
      <c r="D26" s="26"/>
      <c r="E26" s="47"/>
      <c r="F26" s="19"/>
      <c r="G26" s="19"/>
      <c r="H26" s="19"/>
      <c r="I26" s="19"/>
      <c r="J26" s="19"/>
      <c r="K26" s="19"/>
      <c r="L26" s="19"/>
      <c r="M26" s="19"/>
      <c r="N26" s="35"/>
      <c r="O26" s="36"/>
      <c r="P26" s="16"/>
    </row>
    <row r="27" spans="1:16" ht="14.25" customHeight="1" x14ac:dyDescent="0.3">
      <c r="A27" s="13"/>
      <c r="B27" s="14" t="s">
        <v>57</v>
      </c>
      <c r="C27" s="15" t="s">
        <v>24</v>
      </c>
      <c r="D27" s="26">
        <v>1372.2</v>
      </c>
      <c r="E27" s="50" t="s">
        <v>52</v>
      </c>
      <c r="F27" s="19">
        <v>0</v>
      </c>
      <c r="G27" s="26">
        <v>130.4</v>
      </c>
      <c r="H27" s="26">
        <f>SUM(F27:G27)</f>
        <v>130.4</v>
      </c>
      <c r="I27" s="19">
        <v>0</v>
      </c>
      <c r="J27" s="19">
        <v>5</v>
      </c>
      <c r="K27" s="19">
        <v>0</v>
      </c>
      <c r="L27" s="19">
        <v>0</v>
      </c>
      <c r="M27" s="19">
        <f>SUM(I27:L27)</f>
        <v>5</v>
      </c>
      <c r="N27" s="35" t="s">
        <v>51</v>
      </c>
      <c r="O27" s="36" t="s">
        <v>148</v>
      </c>
      <c r="P27" s="16"/>
    </row>
    <row r="28" spans="1:16" ht="14.25" customHeight="1" x14ac:dyDescent="0.3">
      <c r="A28" s="13"/>
      <c r="B28" s="14" t="s">
        <v>58</v>
      </c>
      <c r="C28" s="15" t="s">
        <v>25</v>
      </c>
      <c r="D28" s="26">
        <v>995.2</v>
      </c>
      <c r="E28" s="50" t="s">
        <v>52</v>
      </c>
      <c r="F28" s="19">
        <v>0</v>
      </c>
      <c r="G28" s="26">
        <v>90</v>
      </c>
      <c r="H28" s="26">
        <f t="shared" ref="H28:H47" si="4">SUM(F28:G28)</f>
        <v>90</v>
      </c>
      <c r="I28" s="19">
        <v>0</v>
      </c>
      <c r="J28" s="19">
        <v>0</v>
      </c>
      <c r="K28" s="19">
        <v>4</v>
      </c>
      <c r="L28" s="19">
        <v>0</v>
      </c>
      <c r="M28" s="19">
        <f t="shared" ref="M28:M47" si="5">SUM(I28:L28)</f>
        <v>4</v>
      </c>
      <c r="N28" s="35" t="s">
        <v>51</v>
      </c>
      <c r="O28" s="36" t="s">
        <v>149</v>
      </c>
      <c r="P28" s="16"/>
    </row>
    <row r="29" spans="1:16" ht="14.25" customHeight="1" x14ac:dyDescent="0.3">
      <c r="A29" s="13"/>
      <c r="B29" s="14" t="s">
        <v>59</v>
      </c>
      <c r="C29" s="15" t="s">
        <v>26</v>
      </c>
      <c r="D29" s="26">
        <v>716.5</v>
      </c>
      <c r="E29" s="50" t="s">
        <v>52</v>
      </c>
      <c r="F29" s="19">
        <v>0</v>
      </c>
      <c r="G29" s="26">
        <v>73</v>
      </c>
      <c r="H29" s="26">
        <f t="shared" si="4"/>
        <v>73</v>
      </c>
      <c r="I29" s="19">
        <v>0</v>
      </c>
      <c r="J29" s="19">
        <v>0</v>
      </c>
      <c r="K29" s="19">
        <v>0</v>
      </c>
      <c r="L29" s="19">
        <v>0</v>
      </c>
      <c r="M29" s="19">
        <f t="shared" si="5"/>
        <v>0</v>
      </c>
      <c r="N29" s="35" t="s">
        <v>51</v>
      </c>
      <c r="O29" s="36" t="s">
        <v>150</v>
      </c>
      <c r="P29" s="16"/>
    </row>
    <row r="30" spans="1:16" ht="14.25" customHeight="1" x14ac:dyDescent="0.3">
      <c r="A30" s="13"/>
      <c r="B30" s="14" t="s">
        <v>60</v>
      </c>
      <c r="C30" s="15" t="s">
        <v>55</v>
      </c>
      <c r="D30" s="26">
        <v>955.3</v>
      </c>
      <c r="E30" s="50" t="s">
        <v>52</v>
      </c>
      <c r="F30" s="19">
        <v>0</v>
      </c>
      <c r="G30" s="26">
        <v>90</v>
      </c>
      <c r="H30" s="26">
        <f t="shared" si="4"/>
        <v>90</v>
      </c>
      <c r="I30" s="19">
        <v>0</v>
      </c>
      <c r="J30" s="19">
        <v>0</v>
      </c>
      <c r="K30" s="19">
        <v>0</v>
      </c>
      <c r="L30" s="19">
        <v>0</v>
      </c>
      <c r="M30" s="19">
        <f t="shared" si="5"/>
        <v>0</v>
      </c>
      <c r="N30" s="35"/>
      <c r="O30" s="36" t="s">
        <v>151</v>
      </c>
      <c r="P30" s="16"/>
    </row>
    <row r="31" spans="1:16" ht="14.25" customHeight="1" x14ac:dyDescent="0.3">
      <c r="A31" s="13"/>
      <c r="B31" s="14" t="s">
        <v>61</v>
      </c>
      <c r="C31" s="15" t="s">
        <v>27</v>
      </c>
      <c r="D31" s="26">
        <v>901.2</v>
      </c>
      <c r="E31" s="50" t="s">
        <v>52</v>
      </c>
      <c r="F31" s="19">
        <v>0</v>
      </c>
      <c r="G31" s="26">
        <v>85</v>
      </c>
      <c r="H31" s="26">
        <f t="shared" si="4"/>
        <v>85</v>
      </c>
      <c r="I31" s="19">
        <v>0</v>
      </c>
      <c r="J31" s="19">
        <v>0</v>
      </c>
      <c r="K31" s="19">
        <v>0</v>
      </c>
      <c r="L31" s="19">
        <v>0</v>
      </c>
      <c r="M31" s="19">
        <f t="shared" si="5"/>
        <v>0</v>
      </c>
      <c r="N31" s="35"/>
      <c r="O31" s="51" t="s">
        <v>162</v>
      </c>
      <c r="P31" s="16"/>
    </row>
    <row r="32" spans="1:16" ht="14.25" customHeight="1" x14ac:dyDescent="0.3">
      <c r="A32" s="13"/>
      <c r="B32" s="14" t="s">
        <v>62</v>
      </c>
      <c r="C32" s="15" t="s">
        <v>28</v>
      </c>
      <c r="D32" s="26">
        <v>871</v>
      </c>
      <c r="E32" s="50" t="s">
        <v>52</v>
      </c>
      <c r="F32" s="19">
        <v>0</v>
      </c>
      <c r="G32" s="26">
        <v>83.5</v>
      </c>
      <c r="H32" s="26">
        <f t="shared" si="4"/>
        <v>83.5</v>
      </c>
      <c r="I32" s="19">
        <v>0</v>
      </c>
      <c r="J32" s="19">
        <v>0</v>
      </c>
      <c r="K32" s="19">
        <v>0</v>
      </c>
      <c r="L32" s="19">
        <v>0</v>
      </c>
      <c r="M32" s="19">
        <f t="shared" si="5"/>
        <v>0</v>
      </c>
      <c r="N32" s="35"/>
      <c r="O32" s="36" t="s">
        <v>152</v>
      </c>
      <c r="P32" s="16"/>
    </row>
    <row r="33" spans="1:16" ht="14.25" customHeight="1" x14ac:dyDescent="0.3">
      <c r="A33" s="13"/>
      <c r="B33" s="14" t="s">
        <v>63</v>
      </c>
      <c r="C33" s="15" t="s">
        <v>29</v>
      </c>
      <c r="D33" s="26">
        <v>1516</v>
      </c>
      <c r="E33" s="50" t="s">
        <v>52</v>
      </c>
      <c r="F33" s="19">
        <v>0</v>
      </c>
      <c r="G33" s="26">
        <v>150.19999999999999</v>
      </c>
      <c r="H33" s="26">
        <f t="shared" si="4"/>
        <v>150.19999999999999</v>
      </c>
      <c r="I33" s="19">
        <v>0</v>
      </c>
      <c r="J33" s="19">
        <v>0</v>
      </c>
      <c r="K33" s="19">
        <v>0</v>
      </c>
      <c r="L33" s="19">
        <v>0</v>
      </c>
      <c r="M33" s="19">
        <f t="shared" si="5"/>
        <v>0</v>
      </c>
      <c r="N33" s="35"/>
      <c r="O33" s="36" t="s">
        <v>153</v>
      </c>
      <c r="P33" s="16"/>
    </row>
    <row r="34" spans="1:16" ht="14.25" customHeight="1" x14ac:dyDescent="0.3">
      <c r="A34" s="13"/>
      <c r="B34" s="14" t="s">
        <v>64</v>
      </c>
      <c r="C34" s="15" t="s">
        <v>56</v>
      </c>
      <c r="D34" s="26">
        <v>97.2</v>
      </c>
      <c r="E34" s="50" t="s">
        <v>52</v>
      </c>
      <c r="F34" s="19">
        <v>0</v>
      </c>
      <c r="G34" s="26">
        <v>8.4</v>
      </c>
      <c r="H34" s="26">
        <f t="shared" si="4"/>
        <v>8.4</v>
      </c>
      <c r="I34" s="19">
        <v>0</v>
      </c>
      <c r="J34" s="19">
        <v>0</v>
      </c>
      <c r="K34" s="19">
        <v>0</v>
      </c>
      <c r="L34" s="19">
        <v>0</v>
      </c>
      <c r="M34" s="19">
        <f t="shared" si="5"/>
        <v>0</v>
      </c>
      <c r="N34" s="35"/>
      <c r="O34" s="36" t="s">
        <v>154</v>
      </c>
      <c r="P34" s="16"/>
    </row>
    <row r="35" spans="1:16" ht="14.25" customHeight="1" x14ac:dyDescent="0.3">
      <c r="A35" s="13"/>
      <c r="B35" s="14" t="s">
        <v>65</v>
      </c>
      <c r="C35" s="15" t="s">
        <v>30</v>
      </c>
      <c r="D35" s="26">
        <v>1502.3</v>
      </c>
      <c r="E35" s="50" t="s">
        <v>52</v>
      </c>
      <c r="F35" s="19">
        <v>0</v>
      </c>
      <c r="G35" s="26">
        <v>145</v>
      </c>
      <c r="H35" s="26">
        <f t="shared" si="4"/>
        <v>145</v>
      </c>
      <c r="I35" s="19">
        <v>0</v>
      </c>
      <c r="J35" s="19">
        <v>0</v>
      </c>
      <c r="K35" s="19">
        <v>0</v>
      </c>
      <c r="L35" s="19">
        <v>0</v>
      </c>
      <c r="M35" s="19">
        <f t="shared" si="5"/>
        <v>0</v>
      </c>
      <c r="N35" s="35"/>
      <c r="O35" s="36" t="s">
        <v>155</v>
      </c>
      <c r="P35" s="16"/>
    </row>
    <row r="36" spans="1:16" ht="14.25" customHeight="1" x14ac:dyDescent="0.3">
      <c r="A36" s="13"/>
      <c r="B36" s="14" t="s">
        <v>66</v>
      </c>
      <c r="C36" s="15" t="s">
        <v>31</v>
      </c>
      <c r="D36" s="26">
        <v>1518</v>
      </c>
      <c r="E36" s="50" t="s">
        <v>52</v>
      </c>
      <c r="F36" s="19">
        <v>0</v>
      </c>
      <c r="G36" s="26">
        <v>151</v>
      </c>
      <c r="H36" s="26">
        <f t="shared" si="4"/>
        <v>151</v>
      </c>
      <c r="I36" s="19">
        <v>0</v>
      </c>
      <c r="J36" s="19">
        <v>0</v>
      </c>
      <c r="K36" s="19">
        <v>0</v>
      </c>
      <c r="L36" s="19">
        <v>0</v>
      </c>
      <c r="M36" s="19">
        <f t="shared" si="5"/>
        <v>0</v>
      </c>
      <c r="N36" s="35"/>
      <c r="O36" s="36" t="s">
        <v>156</v>
      </c>
      <c r="P36" s="16"/>
    </row>
    <row r="37" spans="1:16" ht="14.25" customHeight="1" x14ac:dyDescent="0.3">
      <c r="A37" s="13"/>
      <c r="B37" s="14" t="s">
        <v>67</v>
      </c>
      <c r="C37" s="15" t="s">
        <v>32</v>
      </c>
      <c r="D37" s="26">
        <v>997.4</v>
      </c>
      <c r="E37" s="50" t="s">
        <v>52</v>
      </c>
      <c r="F37" s="19">
        <v>0</v>
      </c>
      <c r="G37" s="26">
        <v>99.5</v>
      </c>
      <c r="H37" s="26">
        <f t="shared" si="4"/>
        <v>99.5</v>
      </c>
      <c r="I37" s="19">
        <v>0</v>
      </c>
      <c r="J37" s="19">
        <v>0</v>
      </c>
      <c r="K37" s="19">
        <v>0</v>
      </c>
      <c r="L37" s="19">
        <v>0</v>
      </c>
      <c r="M37" s="19">
        <f t="shared" si="5"/>
        <v>0</v>
      </c>
      <c r="N37" s="35"/>
      <c r="O37" s="36" t="s">
        <v>157</v>
      </c>
      <c r="P37" s="16"/>
    </row>
    <row r="38" spans="1:16" ht="14.25" customHeight="1" x14ac:dyDescent="0.3">
      <c r="A38" s="13"/>
      <c r="B38" s="14" t="s">
        <v>68</v>
      </c>
      <c r="C38" s="15" t="s">
        <v>33</v>
      </c>
      <c r="D38" s="26">
        <v>1304</v>
      </c>
      <c r="E38" s="50" t="s">
        <v>52</v>
      </c>
      <c r="F38" s="19">
        <v>0</v>
      </c>
      <c r="G38" s="26">
        <v>130</v>
      </c>
      <c r="H38" s="26">
        <f t="shared" si="4"/>
        <v>130</v>
      </c>
      <c r="I38" s="19">
        <v>0</v>
      </c>
      <c r="J38" s="19">
        <v>0</v>
      </c>
      <c r="K38" s="19">
        <v>0</v>
      </c>
      <c r="L38" s="19">
        <v>0</v>
      </c>
      <c r="M38" s="19">
        <f t="shared" si="5"/>
        <v>0</v>
      </c>
      <c r="N38" s="35"/>
      <c r="O38" s="36" t="s">
        <v>158</v>
      </c>
      <c r="P38" s="16"/>
    </row>
    <row r="39" spans="1:16" ht="14.25" customHeight="1" x14ac:dyDescent="0.3">
      <c r="A39" s="13"/>
      <c r="B39" s="14" t="s">
        <v>69</v>
      </c>
      <c r="C39" s="15" t="s">
        <v>34</v>
      </c>
      <c r="D39" s="26">
        <v>1704</v>
      </c>
      <c r="E39" s="50" t="s">
        <v>52</v>
      </c>
      <c r="F39" s="19">
        <v>0</v>
      </c>
      <c r="G39" s="26">
        <v>170</v>
      </c>
      <c r="H39" s="26">
        <f t="shared" si="4"/>
        <v>170</v>
      </c>
      <c r="I39" s="19">
        <v>0</v>
      </c>
      <c r="J39" s="19">
        <v>0</v>
      </c>
      <c r="K39" s="19">
        <v>0</v>
      </c>
      <c r="L39" s="19">
        <v>0</v>
      </c>
      <c r="M39" s="19">
        <f t="shared" si="5"/>
        <v>0</v>
      </c>
      <c r="N39" s="35"/>
      <c r="O39" s="36" t="s">
        <v>159</v>
      </c>
      <c r="P39" s="16"/>
    </row>
    <row r="40" spans="1:16" ht="14.25" customHeight="1" x14ac:dyDescent="0.3">
      <c r="A40" s="13"/>
      <c r="B40" s="14" t="s">
        <v>70</v>
      </c>
      <c r="C40" s="15" t="s">
        <v>35</v>
      </c>
      <c r="D40" s="26">
        <v>1557</v>
      </c>
      <c r="E40" s="50" t="s">
        <v>52</v>
      </c>
      <c r="F40" s="19">
        <v>0</v>
      </c>
      <c r="G40" s="26">
        <v>154</v>
      </c>
      <c r="H40" s="26">
        <f t="shared" si="4"/>
        <v>154</v>
      </c>
      <c r="I40" s="19">
        <v>0</v>
      </c>
      <c r="J40" s="19">
        <v>0</v>
      </c>
      <c r="K40" s="19">
        <v>0</v>
      </c>
      <c r="L40" s="19">
        <v>0</v>
      </c>
      <c r="M40" s="19">
        <f t="shared" si="5"/>
        <v>0</v>
      </c>
      <c r="N40" s="35"/>
      <c r="O40" s="36" t="s">
        <v>160</v>
      </c>
      <c r="P40" s="16"/>
    </row>
    <row r="41" spans="1:16" ht="14.25" customHeight="1" x14ac:dyDescent="0.3">
      <c r="A41" s="13"/>
      <c r="B41" s="14" t="s">
        <v>71</v>
      </c>
      <c r="C41" s="15" t="s">
        <v>21</v>
      </c>
      <c r="D41" s="26">
        <v>1669</v>
      </c>
      <c r="E41" s="50" t="s">
        <v>52</v>
      </c>
      <c r="F41" s="19">
        <v>0</v>
      </c>
      <c r="G41" s="26">
        <v>165</v>
      </c>
      <c r="H41" s="26">
        <f t="shared" si="4"/>
        <v>165</v>
      </c>
      <c r="I41" s="19">
        <v>0</v>
      </c>
      <c r="J41" s="19">
        <v>0</v>
      </c>
      <c r="K41" s="19">
        <v>0</v>
      </c>
      <c r="L41" s="19">
        <v>0</v>
      </c>
      <c r="M41" s="19">
        <f t="shared" si="5"/>
        <v>0</v>
      </c>
      <c r="N41" s="35"/>
      <c r="O41" s="36" t="s">
        <v>161</v>
      </c>
      <c r="P41" s="16"/>
    </row>
    <row r="42" spans="1:16" ht="14.25" customHeight="1" x14ac:dyDescent="0.3">
      <c r="A42" s="13"/>
      <c r="B42" s="14" t="s">
        <v>72</v>
      </c>
      <c r="C42" s="15" t="s">
        <v>42</v>
      </c>
      <c r="D42" s="26">
        <v>773</v>
      </c>
      <c r="E42" s="50" t="s">
        <v>52</v>
      </c>
      <c r="F42" s="19">
        <v>0</v>
      </c>
      <c r="G42" s="26">
        <v>75</v>
      </c>
      <c r="H42" s="26">
        <f t="shared" si="4"/>
        <v>75</v>
      </c>
      <c r="I42" s="19">
        <v>0</v>
      </c>
      <c r="J42" s="19">
        <v>0</v>
      </c>
      <c r="K42" s="19">
        <v>0</v>
      </c>
      <c r="L42" s="19">
        <v>0</v>
      </c>
      <c r="M42" s="19">
        <f t="shared" si="5"/>
        <v>0</v>
      </c>
      <c r="N42" s="35"/>
      <c r="O42" s="36"/>
      <c r="P42" s="16"/>
    </row>
    <row r="43" spans="1:16" ht="14.25" customHeight="1" x14ac:dyDescent="0.3">
      <c r="A43" s="13"/>
      <c r="B43" s="14"/>
      <c r="C43" s="15"/>
      <c r="D43" s="26"/>
      <c r="E43" s="47" t="s">
        <v>45</v>
      </c>
      <c r="F43" s="19">
        <v>0</v>
      </c>
      <c r="G43" s="26">
        <v>60</v>
      </c>
      <c r="H43" s="26">
        <f t="shared" si="4"/>
        <v>60</v>
      </c>
      <c r="I43" s="19">
        <v>0</v>
      </c>
      <c r="J43" s="19">
        <v>0</v>
      </c>
      <c r="K43" s="19">
        <v>0</v>
      </c>
      <c r="L43" s="19">
        <v>0</v>
      </c>
      <c r="M43" s="19">
        <f t="shared" si="5"/>
        <v>0</v>
      </c>
      <c r="N43" s="35"/>
      <c r="O43" s="36"/>
      <c r="P43" s="16"/>
    </row>
    <row r="44" spans="1:16" ht="14.25" customHeight="1" x14ac:dyDescent="0.3">
      <c r="A44" s="13"/>
      <c r="B44" s="14" t="s">
        <v>73</v>
      </c>
      <c r="C44" s="15" t="s">
        <v>22</v>
      </c>
      <c r="D44" s="26">
        <v>1146</v>
      </c>
      <c r="E44" s="50" t="s">
        <v>52</v>
      </c>
      <c r="F44" s="19">
        <v>0</v>
      </c>
      <c r="G44" s="26">
        <v>114</v>
      </c>
      <c r="H44" s="26">
        <f t="shared" si="4"/>
        <v>114</v>
      </c>
      <c r="I44" s="19">
        <v>0</v>
      </c>
      <c r="J44" s="19">
        <v>0</v>
      </c>
      <c r="K44" s="19">
        <v>0</v>
      </c>
      <c r="L44" s="19">
        <v>0</v>
      </c>
      <c r="M44" s="19">
        <f t="shared" si="5"/>
        <v>0</v>
      </c>
      <c r="N44" s="35"/>
      <c r="O44" s="36"/>
      <c r="P44" s="16"/>
    </row>
    <row r="45" spans="1:16" ht="14.25" customHeight="1" x14ac:dyDescent="0.3">
      <c r="A45" s="13"/>
      <c r="B45" s="14"/>
      <c r="C45" s="15"/>
      <c r="D45" s="26"/>
      <c r="E45" s="47" t="s">
        <v>45</v>
      </c>
      <c r="F45" s="19">
        <v>0</v>
      </c>
      <c r="G45" s="26">
        <v>55</v>
      </c>
      <c r="H45" s="26">
        <f t="shared" si="4"/>
        <v>55</v>
      </c>
      <c r="I45" s="19">
        <v>0</v>
      </c>
      <c r="J45" s="19">
        <v>0</v>
      </c>
      <c r="K45" s="19">
        <v>0</v>
      </c>
      <c r="L45" s="19">
        <v>0</v>
      </c>
      <c r="M45" s="19">
        <f t="shared" si="5"/>
        <v>0</v>
      </c>
      <c r="N45" s="35"/>
      <c r="O45" s="36"/>
      <c r="P45" s="16"/>
    </row>
    <row r="46" spans="1:16" ht="14.25" customHeight="1" x14ac:dyDescent="0.3">
      <c r="A46" s="13"/>
      <c r="B46" s="14" t="s">
        <v>74</v>
      </c>
      <c r="C46" s="15" t="s">
        <v>43</v>
      </c>
      <c r="D46" s="26">
        <v>1189</v>
      </c>
      <c r="E46" s="50" t="s">
        <v>52</v>
      </c>
      <c r="F46" s="19">
        <v>0</v>
      </c>
      <c r="G46" s="26">
        <v>115</v>
      </c>
      <c r="H46" s="26">
        <f t="shared" si="4"/>
        <v>115</v>
      </c>
      <c r="I46" s="19">
        <v>0</v>
      </c>
      <c r="J46" s="19">
        <v>0</v>
      </c>
      <c r="K46" s="19">
        <v>0</v>
      </c>
      <c r="L46" s="19">
        <v>0</v>
      </c>
      <c r="M46" s="19">
        <f t="shared" si="5"/>
        <v>0</v>
      </c>
      <c r="N46" s="35"/>
      <c r="O46" s="36"/>
      <c r="P46" s="16"/>
    </row>
    <row r="47" spans="1:16" ht="14.25" customHeight="1" x14ac:dyDescent="0.3">
      <c r="A47" s="13"/>
      <c r="B47" s="14" t="s">
        <v>75</v>
      </c>
      <c r="C47" s="15" t="s">
        <v>44</v>
      </c>
      <c r="D47" s="26">
        <v>1391</v>
      </c>
      <c r="E47" s="50" t="s">
        <v>52</v>
      </c>
      <c r="F47" s="19">
        <v>0</v>
      </c>
      <c r="G47" s="26">
        <v>136</v>
      </c>
      <c r="H47" s="26">
        <f t="shared" si="4"/>
        <v>136</v>
      </c>
      <c r="I47" s="19">
        <v>0</v>
      </c>
      <c r="J47" s="19">
        <v>0</v>
      </c>
      <c r="K47" s="19">
        <v>0</v>
      </c>
      <c r="L47" s="19">
        <v>0</v>
      </c>
      <c r="M47" s="19">
        <f t="shared" si="5"/>
        <v>0</v>
      </c>
      <c r="N47" s="35"/>
      <c r="O47" s="36"/>
      <c r="P47" s="16"/>
    </row>
    <row r="48" spans="1:16" ht="9.75" customHeight="1" x14ac:dyDescent="0.3">
      <c r="A48" s="13"/>
      <c r="B48" s="14"/>
      <c r="C48" s="15"/>
      <c r="D48" s="16"/>
      <c r="E48" s="47"/>
      <c r="F48" s="19"/>
      <c r="G48" s="19"/>
      <c r="H48" s="19"/>
      <c r="I48" s="19"/>
      <c r="J48" s="19"/>
      <c r="K48" s="19"/>
      <c r="L48" s="19"/>
      <c r="M48" s="19"/>
      <c r="N48" s="35"/>
      <c r="O48" s="36"/>
      <c r="P48" s="16"/>
    </row>
    <row r="49" spans="1:16" ht="14.25" customHeight="1" x14ac:dyDescent="0.3">
      <c r="A49" s="13">
        <v>4</v>
      </c>
      <c r="B49" s="14" t="s">
        <v>46</v>
      </c>
      <c r="C49" s="15"/>
      <c r="D49" s="26"/>
      <c r="E49" s="47"/>
      <c r="F49" s="19"/>
      <c r="G49" s="19"/>
      <c r="H49" s="19"/>
      <c r="I49" s="19"/>
      <c r="J49" s="19"/>
      <c r="K49" s="19"/>
      <c r="L49" s="19"/>
      <c r="M49" s="19"/>
      <c r="N49" s="35"/>
      <c r="O49" s="36"/>
      <c r="P49" s="16"/>
    </row>
    <row r="50" spans="1:16" ht="14.25" customHeight="1" x14ac:dyDescent="0.3">
      <c r="A50" s="13"/>
      <c r="B50" s="14" t="s">
        <v>57</v>
      </c>
      <c r="C50" s="15" t="s">
        <v>29</v>
      </c>
      <c r="D50" s="26">
        <v>175</v>
      </c>
      <c r="E50" s="47" t="s">
        <v>76</v>
      </c>
      <c r="F50" s="26">
        <v>14</v>
      </c>
      <c r="G50" s="19">
        <v>0</v>
      </c>
      <c r="H50" s="26">
        <f>SUM(F50:G50)</f>
        <v>14</v>
      </c>
      <c r="I50" s="19">
        <v>0</v>
      </c>
      <c r="J50" s="19">
        <v>0</v>
      </c>
      <c r="K50" s="19">
        <v>0</v>
      </c>
      <c r="L50" s="19">
        <v>0</v>
      </c>
      <c r="M50" s="19">
        <f>SUM(I50:L50)</f>
        <v>0</v>
      </c>
      <c r="N50" s="35"/>
      <c r="O50" s="36" t="s">
        <v>93</v>
      </c>
      <c r="P50" s="16"/>
    </row>
    <row r="51" spans="1:16" ht="14.25" customHeight="1" x14ac:dyDescent="0.3">
      <c r="A51" s="13"/>
      <c r="B51" s="14" t="s">
        <v>58</v>
      </c>
      <c r="C51" s="15" t="s">
        <v>33</v>
      </c>
      <c r="D51" s="26">
        <v>270</v>
      </c>
      <c r="E51" s="47" t="s">
        <v>53</v>
      </c>
      <c r="F51" s="26">
        <v>13</v>
      </c>
      <c r="G51" s="19">
        <v>0</v>
      </c>
      <c r="H51" s="26">
        <f t="shared" ref="H51:H55" si="6">SUM(F51:G51)</f>
        <v>13</v>
      </c>
      <c r="I51" s="19">
        <v>0</v>
      </c>
      <c r="J51" s="19">
        <v>0</v>
      </c>
      <c r="K51" s="19">
        <v>0</v>
      </c>
      <c r="L51" s="19">
        <v>0</v>
      </c>
      <c r="M51" s="19">
        <f t="shared" ref="M51:M55" si="7">SUM(I51:L51)</f>
        <v>0</v>
      </c>
      <c r="N51" s="35"/>
      <c r="O51" s="36"/>
      <c r="P51" s="16"/>
    </row>
    <row r="52" spans="1:16" ht="14.25" customHeight="1" x14ac:dyDescent="0.3">
      <c r="A52" s="13"/>
      <c r="B52" s="14" t="s">
        <v>59</v>
      </c>
      <c r="C52" s="15" t="s">
        <v>42</v>
      </c>
      <c r="D52" s="26">
        <v>798.93</v>
      </c>
      <c r="E52" s="47"/>
      <c r="F52" s="26">
        <v>74</v>
      </c>
      <c r="G52" s="19">
        <v>0</v>
      </c>
      <c r="H52" s="26">
        <f t="shared" si="6"/>
        <v>74</v>
      </c>
      <c r="I52" s="19">
        <v>0</v>
      </c>
      <c r="J52" s="19">
        <v>5</v>
      </c>
      <c r="K52" s="19">
        <v>0</v>
      </c>
      <c r="L52" s="19">
        <v>0</v>
      </c>
      <c r="M52" s="19">
        <f t="shared" si="7"/>
        <v>5</v>
      </c>
      <c r="N52" s="35"/>
      <c r="O52" s="36"/>
      <c r="P52" s="16"/>
    </row>
    <row r="53" spans="1:16" ht="14.25" customHeight="1" x14ac:dyDescent="0.3">
      <c r="A53" s="13"/>
      <c r="B53" s="14" t="s">
        <v>60</v>
      </c>
      <c r="C53" s="15" t="s">
        <v>21</v>
      </c>
      <c r="D53" s="26">
        <v>1086.55</v>
      </c>
      <c r="E53" s="47"/>
      <c r="F53" s="26">
        <v>95</v>
      </c>
      <c r="G53" s="19">
        <v>0</v>
      </c>
      <c r="H53" s="26">
        <f t="shared" si="6"/>
        <v>95</v>
      </c>
      <c r="I53" s="19">
        <v>0</v>
      </c>
      <c r="J53" s="19">
        <v>5</v>
      </c>
      <c r="K53" s="19">
        <v>0</v>
      </c>
      <c r="L53" s="19">
        <v>0</v>
      </c>
      <c r="M53" s="19">
        <f t="shared" si="7"/>
        <v>5</v>
      </c>
      <c r="N53" s="35"/>
      <c r="O53" s="36"/>
      <c r="P53" s="16"/>
    </row>
    <row r="54" spans="1:16" ht="14.25" customHeight="1" x14ac:dyDescent="0.3">
      <c r="A54" s="16"/>
      <c r="B54" s="14" t="s">
        <v>61</v>
      </c>
      <c r="C54" s="15" t="s">
        <v>22</v>
      </c>
      <c r="D54" s="26">
        <v>1084.55</v>
      </c>
      <c r="E54" s="47"/>
      <c r="F54" s="26">
        <v>96</v>
      </c>
      <c r="G54" s="19">
        <v>0</v>
      </c>
      <c r="H54" s="26">
        <f t="shared" si="6"/>
        <v>96</v>
      </c>
      <c r="I54" s="19">
        <v>0</v>
      </c>
      <c r="J54" s="19">
        <v>5</v>
      </c>
      <c r="K54" s="19">
        <v>0</v>
      </c>
      <c r="L54" s="19">
        <v>0</v>
      </c>
      <c r="M54" s="19">
        <f t="shared" si="7"/>
        <v>5</v>
      </c>
      <c r="N54" s="35"/>
      <c r="O54" s="36"/>
      <c r="P54" s="16"/>
    </row>
    <row r="55" spans="1:16" ht="14.25" customHeight="1" x14ac:dyDescent="0.3">
      <c r="A55" s="16"/>
      <c r="B55" s="14" t="s">
        <v>62</v>
      </c>
      <c r="C55" s="15" t="s">
        <v>43</v>
      </c>
      <c r="D55" s="26">
        <v>33</v>
      </c>
      <c r="E55" s="47"/>
      <c r="F55" s="26">
        <f t="shared" ref="F55" si="8">10/100*D55</f>
        <v>3.3000000000000003</v>
      </c>
      <c r="G55" s="19">
        <v>0</v>
      </c>
      <c r="H55" s="26">
        <f t="shared" si="6"/>
        <v>3.3000000000000003</v>
      </c>
      <c r="I55" s="19">
        <v>0</v>
      </c>
      <c r="J55" s="19">
        <v>0</v>
      </c>
      <c r="K55" s="19">
        <v>0</v>
      </c>
      <c r="L55" s="19">
        <v>0</v>
      </c>
      <c r="M55" s="19">
        <f t="shared" si="7"/>
        <v>0</v>
      </c>
      <c r="N55" s="35"/>
      <c r="O55" s="36"/>
      <c r="P55" s="16"/>
    </row>
    <row r="56" spans="1:16" ht="9" customHeight="1" x14ac:dyDescent="0.3">
      <c r="A56" s="16"/>
      <c r="B56" s="14"/>
      <c r="C56" s="15"/>
      <c r="D56" s="26"/>
      <c r="E56" s="47"/>
      <c r="F56" s="26"/>
      <c r="G56" s="19"/>
      <c r="H56" s="26"/>
      <c r="I56" s="19"/>
      <c r="J56" s="19"/>
      <c r="K56" s="19"/>
      <c r="L56" s="19"/>
      <c r="M56" s="19"/>
      <c r="N56" s="35"/>
      <c r="O56" s="36"/>
      <c r="P56" s="16"/>
    </row>
    <row r="57" spans="1:16" ht="14.25" customHeight="1" x14ac:dyDescent="0.3">
      <c r="A57" s="13">
        <v>5</v>
      </c>
      <c r="B57" s="14" t="s">
        <v>96</v>
      </c>
      <c r="C57" s="15"/>
      <c r="D57" s="26"/>
      <c r="E57" s="47"/>
      <c r="F57" s="26"/>
      <c r="G57" s="19"/>
      <c r="H57" s="26"/>
      <c r="I57" s="19"/>
      <c r="J57" s="19"/>
      <c r="K57" s="19"/>
      <c r="L57" s="19"/>
      <c r="M57" s="19"/>
      <c r="N57" s="35"/>
      <c r="O57" s="36"/>
      <c r="P57" s="16"/>
    </row>
    <row r="58" spans="1:16" ht="14.25" customHeight="1" x14ac:dyDescent="0.3">
      <c r="A58" s="16"/>
      <c r="B58" s="14" t="s">
        <v>57</v>
      </c>
      <c r="C58" s="15" t="s">
        <v>22</v>
      </c>
      <c r="D58" s="26">
        <v>9.5</v>
      </c>
      <c r="E58" s="47" t="s">
        <v>163</v>
      </c>
      <c r="F58" s="26">
        <v>1</v>
      </c>
      <c r="G58" s="19">
        <v>0</v>
      </c>
      <c r="H58" s="26">
        <f>SUM(F58:G58)</f>
        <v>1</v>
      </c>
      <c r="I58" s="19">
        <v>0</v>
      </c>
      <c r="J58" s="19">
        <v>1</v>
      </c>
      <c r="K58" s="19">
        <v>0</v>
      </c>
      <c r="L58" s="19">
        <v>0</v>
      </c>
      <c r="M58" s="19">
        <f>SUM(I58:L58)</f>
        <v>1</v>
      </c>
      <c r="N58" s="35"/>
      <c r="O58" s="36" t="s">
        <v>136</v>
      </c>
      <c r="P58" s="16"/>
    </row>
    <row r="59" spans="1:16" ht="14.25" customHeight="1" x14ac:dyDescent="0.3">
      <c r="A59" s="16"/>
      <c r="B59" s="14" t="s">
        <v>58</v>
      </c>
      <c r="C59" s="15" t="s">
        <v>21</v>
      </c>
      <c r="D59" s="26">
        <v>17.11</v>
      </c>
      <c r="E59" s="47" t="s">
        <v>164</v>
      </c>
      <c r="F59" s="26">
        <v>3</v>
      </c>
      <c r="G59" s="19">
        <v>0</v>
      </c>
      <c r="H59" s="26">
        <f t="shared" ref="H59:H65" si="9">SUM(F59:G59)</f>
        <v>3</v>
      </c>
      <c r="I59" s="19">
        <v>0</v>
      </c>
      <c r="J59" s="19">
        <v>3</v>
      </c>
      <c r="K59" s="19">
        <v>0</v>
      </c>
      <c r="L59" s="19">
        <v>0</v>
      </c>
      <c r="M59" s="19">
        <f t="shared" ref="M59:M65" si="10">SUM(I59:L59)</f>
        <v>3</v>
      </c>
      <c r="N59" s="35"/>
      <c r="O59" s="36" t="s">
        <v>50</v>
      </c>
      <c r="P59" s="16"/>
    </row>
    <row r="60" spans="1:16" ht="14.25" customHeight="1" x14ac:dyDescent="0.3">
      <c r="A60" s="16"/>
      <c r="B60" s="14" t="s">
        <v>59</v>
      </c>
      <c r="C60" s="15" t="s">
        <v>43</v>
      </c>
      <c r="D60" s="26">
        <v>17.79</v>
      </c>
      <c r="E60" s="47" t="s">
        <v>163</v>
      </c>
      <c r="F60" s="26">
        <v>1</v>
      </c>
      <c r="G60" s="19">
        <v>0</v>
      </c>
      <c r="H60" s="26">
        <f t="shared" si="9"/>
        <v>1</v>
      </c>
      <c r="I60" s="19">
        <v>0</v>
      </c>
      <c r="J60" s="19">
        <v>1</v>
      </c>
      <c r="K60" s="19">
        <v>1</v>
      </c>
      <c r="L60" s="19">
        <v>0</v>
      </c>
      <c r="M60" s="19">
        <f t="shared" si="10"/>
        <v>2</v>
      </c>
      <c r="N60" s="35"/>
      <c r="O60" s="36" t="s">
        <v>137</v>
      </c>
      <c r="P60" s="16"/>
    </row>
    <row r="61" spans="1:16" ht="14.25" customHeight="1" x14ac:dyDescent="0.3">
      <c r="A61" s="16"/>
      <c r="B61" s="14" t="s">
        <v>60</v>
      </c>
      <c r="C61" s="15" t="s">
        <v>44</v>
      </c>
      <c r="D61" s="26">
        <v>30.5</v>
      </c>
      <c r="E61" s="47" t="s">
        <v>164</v>
      </c>
      <c r="F61" s="26">
        <v>2</v>
      </c>
      <c r="G61" s="19">
        <v>0</v>
      </c>
      <c r="H61" s="26">
        <f t="shared" si="9"/>
        <v>2</v>
      </c>
      <c r="I61" s="19">
        <v>0</v>
      </c>
      <c r="J61" s="19">
        <v>0</v>
      </c>
      <c r="K61" s="19">
        <v>0</v>
      </c>
      <c r="L61" s="19">
        <v>0</v>
      </c>
      <c r="M61" s="19">
        <f t="shared" si="10"/>
        <v>0</v>
      </c>
      <c r="N61" s="35"/>
      <c r="O61" s="36" t="s">
        <v>145</v>
      </c>
      <c r="P61" s="16"/>
    </row>
    <row r="62" spans="1:16" ht="14.25" customHeight="1" x14ac:dyDescent="0.3">
      <c r="A62" s="16"/>
      <c r="B62" s="14" t="s">
        <v>61</v>
      </c>
      <c r="C62" s="15" t="s">
        <v>33</v>
      </c>
      <c r="D62" s="26">
        <v>5.2</v>
      </c>
      <c r="E62" s="47" t="s">
        <v>163</v>
      </c>
      <c r="F62" s="26">
        <v>1.5</v>
      </c>
      <c r="G62" s="19">
        <v>0</v>
      </c>
      <c r="H62" s="26">
        <f t="shared" si="9"/>
        <v>1.5</v>
      </c>
      <c r="I62" s="19">
        <v>0</v>
      </c>
      <c r="J62" s="19">
        <v>0</v>
      </c>
      <c r="K62" s="19">
        <v>0</v>
      </c>
      <c r="L62" s="19">
        <v>0</v>
      </c>
      <c r="M62" s="19">
        <f t="shared" si="10"/>
        <v>0</v>
      </c>
      <c r="N62" s="35"/>
      <c r="O62" s="36" t="s">
        <v>146</v>
      </c>
      <c r="P62" s="16"/>
    </row>
    <row r="63" spans="1:16" ht="14.25" customHeight="1" x14ac:dyDescent="0.3">
      <c r="A63" s="16"/>
      <c r="B63" s="14" t="s">
        <v>62</v>
      </c>
      <c r="C63" s="15" t="s">
        <v>32</v>
      </c>
      <c r="D63" s="26">
        <v>0.25</v>
      </c>
      <c r="E63" s="47" t="s">
        <v>129</v>
      </c>
      <c r="F63" s="26">
        <v>0.1</v>
      </c>
      <c r="G63" s="19">
        <v>0</v>
      </c>
      <c r="H63" s="26">
        <f t="shared" si="9"/>
        <v>0.1</v>
      </c>
      <c r="I63" s="19">
        <v>0</v>
      </c>
      <c r="J63" s="19">
        <v>0</v>
      </c>
      <c r="K63" s="19">
        <v>0</v>
      </c>
      <c r="L63" s="19">
        <v>0</v>
      </c>
      <c r="M63" s="19">
        <f t="shared" si="10"/>
        <v>0</v>
      </c>
      <c r="N63" s="35"/>
      <c r="O63" s="36"/>
      <c r="P63" s="16"/>
    </row>
    <row r="64" spans="1:16" ht="14.25" customHeight="1" x14ac:dyDescent="0.3">
      <c r="A64" s="16"/>
      <c r="B64" s="14">
        <v>9</v>
      </c>
      <c r="C64" s="15" t="s">
        <v>30</v>
      </c>
      <c r="D64" s="26">
        <v>9.5</v>
      </c>
      <c r="E64" s="47" t="s">
        <v>129</v>
      </c>
      <c r="F64" s="26">
        <v>2</v>
      </c>
      <c r="G64" s="19">
        <v>0</v>
      </c>
      <c r="H64" s="26">
        <f t="shared" si="9"/>
        <v>2</v>
      </c>
      <c r="I64" s="19">
        <v>0</v>
      </c>
      <c r="J64" s="19">
        <v>0</v>
      </c>
      <c r="K64" s="19">
        <v>0</v>
      </c>
      <c r="L64" s="19">
        <v>0</v>
      </c>
      <c r="M64" s="19">
        <f t="shared" si="10"/>
        <v>0</v>
      </c>
      <c r="N64" s="35"/>
      <c r="O64" s="36"/>
      <c r="P64" s="16"/>
    </row>
    <row r="65" spans="1:16" ht="14.25" customHeight="1" x14ac:dyDescent="0.3">
      <c r="A65" s="16"/>
      <c r="B65" s="14" t="s">
        <v>64</v>
      </c>
      <c r="C65" s="15" t="s">
        <v>31</v>
      </c>
      <c r="D65" s="26">
        <v>4</v>
      </c>
      <c r="E65" s="47" t="s">
        <v>135</v>
      </c>
      <c r="F65" s="26">
        <v>0.1</v>
      </c>
      <c r="G65" s="19">
        <v>0</v>
      </c>
      <c r="H65" s="26">
        <f t="shared" si="9"/>
        <v>0.1</v>
      </c>
      <c r="I65" s="19">
        <v>0</v>
      </c>
      <c r="J65" s="19">
        <v>0</v>
      </c>
      <c r="K65" s="19">
        <v>0</v>
      </c>
      <c r="L65" s="19">
        <v>0</v>
      </c>
      <c r="M65" s="19">
        <f t="shared" si="10"/>
        <v>0</v>
      </c>
      <c r="N65" s="35"/>
      <c r="O65" s="36"/>
      <c r="P65" s="16"/>
    </row>
    <row r="66" spans="1:16" ht="14.25" customHeight="1" x14ac:dyDescent="0.3">
      <c r="A66" s="16"/>
      <c r="B66" s="14"/>
      <c r="C66" s="15"/>
      <c r="D66" s="26"/>
      <c r="E66" s="47"/>
      <c r="F66" s="26"/>
      <c r="G66" s="19"/>
      <c r="H66" s="26"/>
      <c r="I66" s="19"/>
      <c r="J66" s="19"/>
      <c r="K66" s="19"/>
      <c r="L66" s="19"/>
      <c r="M66" s="19"/>
      <c r="N66" s="35"/>
      <c r="O66" s="36"/>
      <c r="P66" s="16"/>
    </row>
    <row r="67" spans="1:16" ht="8.25" customHeight="1" x14ac:dyDescent="0.3">
      <c r="A67" s="6"/>
      <c r="B67" s="9"/>
      <c r="C67" s="11"/>
      <c r="D67" s="6"/>
      <c r="E67" s="52"/>
      <c r="F67" s="7"/>
      <c r="G67" s="7"/>
      <c r="H67" s="7"/>
      <c r="I67" s="7"/>
      <c r="J67" s="7"/>
      <c r="K67" s="7"/>
      <c r="L67" s="7"/>
      <c r="M67" s="7"/>
      <c r="N67" s="45"/>
      <c r="O67" s="46"/>
      <c r="P67" s="6"/>
    </row>
    <row r="68" spans="1:16" ht="9" customHeight="1" x14ac:dyDescent="0.3">
      <c r="F68" s="2"/>
      <c r="G68" s="2"/>
      <c r="H68" s="2"/>
      <c r="I68" s="2"/>
      <c r="J68" s="2"/>
      <c r="K68" s="2"/>
      <c r="L68" s="2"/>
      <c r="M68" s="2"/>
    </row>
  </sheetData>
  <mergeCells count="11">
    <mergeCell ref="O22:O23"/>
    <mergeCell ref="A1:P1"/>
    <mergeCell ref="A6:A7"/>
    <mergeCell ref="B6:C6"/>
    <mergeCell ref="D6:D7"/>
    <mergeCell ref="E6:E7"/>
    <mergeCell ref="F6:H6"/>
    <mergeCell ref="I6:M6"/>
    <mergeCell ref="N6:O7"/>
    <mergeCell ref="P6:P7"/>
    <mergeCell ref="B7:C7"/>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P65"/>
  <sheetViews>
    <sheetView topLeftCell="A55" workbookViewId="0">
      <selection activeCell="A66" sqref="A66:XFD76"/>
    </sheetView>
  </sheetViews>
  <sheetFormatPr defaultColWidth="9.1796875" defaultRowHeight="14" x14ac:dyDescent="0.3"/>
  <cols>
    <col min="1" max="1" width="9.1796875" style="1"/>
    <col min="2" max="2" width="2.1796875" style="1" customWidth="1"/>
    <col min="3" max="3" width="17.7265625" style="1" customWidth="1"/>
    <col min="4" max="4" width="11.54296875" style="1" customWidth="1"/>
    <col min="5" max="5" width="27" style="1" customWidth="1"/>
    <col min="6" max="6" width="7.54296875" style="1" bestFit="1" customWidth="1"/>
    <col min="7" max="7" width="8.81640625" style="1" customWidth="1"/>
    <col min="8" max="8" width="7.54296875" style="1" bestFit="1" customWidth="1"/>
    <col min="9" max="9" width="6.453125" style="1" bestFit="1" customWidth="1"/>
    <col min="10" max="10" width="6.81640625" style="1" bestFit="1" customWidth="1"/>
    <col min="11" max="11" width="10" style="1" bestFit="1" customWidth="1"/>
    <col min="12" max="12" width="5.54296875" style="1" bestFit="1" customWidth="1"/>
    <col min="13" max="13" width="6.81640625" style="1" bestFit="1" customWidth="1"/>
    <col min="14" max="14" width="2.1796875" style="1" customWidth="1"/>
    <col min="15" max="15" width="29.7265625" style="1" customWidth="1"/>
    <col min="16" max="16" width="12.1796875" style="1" customWidth="1"/>
    <col min="17" max="16384" width="9.1796875" style="1"/>
  </cols>
  <sheetData>
    <row r="1" spans="1:16" x14ac:dyDescent="0.3">
      <c r="A1" s="385" t="s">
        <v>0</v>
      </c>
      <c r="B1" s="385"/>
      <c r="C1" s="385"/>
      <c r="D1" s="385"/>
      <c r="E1" s="385"/>
      <c r="F1" s="385"/>
      <c r="G1" s="385"/>
      <c r="H1" s="385"/>
      <c r="I1" s="385"/>
      <c r="J1" s="385"/>
      <c r="K1" s="385"/>
      <c r="L1" s="385"/>
      <c r="M1" s="385"/>
      <c r="N1" s="385"/>
      <c r="O1" s="385"/>
      <c r="P1" s="385"/>
    </row>
    <row r="2" spans="1:16" ht="14.25" customHeight="1" x14ac:dyDescent="0.3"/>
    <row r="3" spans="1:16" ht="14.25" customHeight="1" x14ac:dyDescent="0.3">
      <c r="A3" s="1" t="s">
        <v>1</v>
      </c>
      <c r="B3" s="1" t="s">
        <v>78</v>
      </c>
      <c r="C3" s="1" t="s">
        <v>77</v>
      </c>
    </row>
    <row r="4" spans="1:16" ht="14.25" customHeight="1" x14ac:dyDescent="0.3">
      <c r="A4" s="1" t="s">
        <v>2</v>
      </c>
      <c r="B4" s="1" t="s">
        <v>78</v>
      </c>
      <c r="C4" s="4" t="s">
        <v>147</v>
      </c>
    </row>
    <row r="6" spans="1:16" x14ac:dyDescent="0.3">
      <c r="A6" s="386" t="s">
        <v>3</v>
      </c>
      <c r="B6" s="388" t="s">
        <v>4</v>
      </c>
      <c r="C6" s="388"/>
      <c r="D6" s="389" t="s">
        <v>6</v>
      </c>
      <c r="E6" s="391" t="s">
        <v>7</v>
      </c>
      <c r="F6" s="393" t="s">
        <v>170</v>
      </c>
      <c r="G6" s="393"/>
      <c r="H6" s="393"/>
      <c r="I6" s="393" t="s">
        <v>12</v>
      </c>
      <c r="J6" s="393"/>
      <c r="K6" s="393"/>
      <c r="L6" s="393"/>
      <c r="M6" s="393"/>
      <c r="N6" s="391" t="s">
        <v>17</v>
      </c>
      <c r="O6" s="391"/>
      <c r="P6" s="386" t="s">
        <v>18</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ht="14.25" customHeight="1" x14ac:dyDescent="0.3">
      <c r="A9" s="13">
        <v>1</v>
      </c>
      <c r="B9" s="14" t="s">
        <v>20</v>
      </c>
      <c r="C9" s="15"/>
      <c r="D9" s="16"/>
      <c r="E9" s="47"/>
      <c r="F9" s="16"/>
      <c r="G9" s="16"/>
      <c r="H9" s="16"/>
      <c r="I9" s="16"/>
      <c r="J9" s="16"/>
      <c r="K9" s="16"/>
      <c r="L9" s="16"/>
      <c r="M9" s="16"/>
      <c r="N9" s="35"/>
      <c r="O9" s="36"/>
      <c r="P9" s="16"/>
    </row>
    <row r="10" spans="1:16" ht="14.25" customHeight="1" x14ac:dyDescent="0.3">
      <c r="A10" s="13"/>
      <c r="B10" s="17" t="s">
        <v>57</v>
      </c>
      <c r="C10" s="15" t="s">
        <v>21</v>
      </c>
      <c r="D10" s="18">
        <v>403.56</v>
      </c>
      <c r="E10" s="47" t="s">
        <v>36</v>
      </c>
      <c r="F10" s="19">
        <v>0</v>
      </c>
      <c r="G10" s="19">
        <v>25</v>
      </c>
      <c r="H10" s="19">
        <f>SUM(F10:G10)</f>
        <v>25</v>
      </c>
      <c r="I10" s="19">
        <v>0</v>
      </c>
      <c r="J10" s="19">
        <v>5</v>
      </c>
      <c r="K10" s="19">
        <v>10</v>
      </c>
      <c r="L10" s="19"/>
      <c r="M10" s="20">
        <f>SUM(I10:L10)</f>
        <v>15</v>
      </c>
      <c r="N10" s="37"/>
      <c r="O10" s="36"/>
      <c r="P10" s="16"/>
    </row>
    <row r="11" spans="1:16" ht="14.25" customHeight="1" x14ac:dyDescent="0.3">
      <c r="A11" s="13"/>
      <c r="B11" s="14"/>
      <c r="C11" s="15"/>
      <c r="D11" s="18"/>
      <c r="E11" s="47" t="s">
        <v>37</v>
      </c>
      <c r="F11" s="19">
        <v>0</v>
      </c>
      <c r="G11" s="19">
        <v>240</v>
      </c>
      <c r="H11" s="19">
        <f t="shared" ref="H11:H17" si="0">SUM(F11:G11)</f>
        <v>240</v>
      </c>
      <c r="I11" s="19">
        <v>0</v>
      </c>
      <c r="J11" s="19">
        <v>0</v>
      </c>
      <c r="K11" s="19">
        <v>5</v>
      </c>
      <c r="L11" s="19">
        <v>0</v>
      </c>
      <c r="M11" s="20">
        <f t="shared" ref="M11:M17" si="1">SUM(I11:L11)</f>
        <v>5</v>
      </c>
      <c r="N11" s="37" t="s">
        <v>51</v>
      </c>
      <c r="O11" s="38" t="s">
        <v>50</v>
      </c>
      <c r="P11" s="16"/>
    </row>
    <row r="12" spans="1:16" ht="14.25" customHeight="1" x14ac:dyDescent="0.3">
      <c r="A12" s="13"/>
      <c r="B12" s="14"/>
      <c r="C12" s="15"/>
      <c r="D12" s="18"/>
      <c r="E12" s="47" t="s">
        <v>38</v>
      </c>
      <c r="F12" s="19">
        <v>0</v>
      </c>
      <c r="G12" s="19">
        <v>264</v>
      </c>
      <c r="H12" s="19">
        <f t="shared" si="0"/>
        <v>264</v>
      </c>
      <c r="I12" s="19">
        <v>0</v>
      </c>
      <c r="J12" s="19"/>
      <c r="K12" s="19">
        <v>10</v>
      </c>
      <c r="L12" s="19">
        <v>0</v>
      </c>
      <c r="M12" s="20">
        <f t="shared" si="1"/>
        <v>10</v>
      </c>
      <c r="N12" s="37" t="s">
        <v>51</v>
      </c>
      <c r="O12" s="36" t="s">
        <v>49</v>
      </c>
      <c r="P12" s="16"/>
    </row>
    <row r="13" spans="1:16" ht="14.25" customHeight="1" x14ac:dyDescent="0.3">
      <c r="A13" s="13"/>
      <c r="B13" s="14"/>
      <c r="C13" s="15"/>
      <c r="D13" s="18"/>
      <c r="E13" s="48" t="s">
        <v>39</v>
      </c>
      <c r="F13" s="22">
        <v>47</v>
      </c>
      <c r="G13" s="22">
        <v>3</v>
      </c>
      <c r="H13" s="22">
        <f t="shared" si="0"/>
        <v>50</v>
      </c>
      <c r="I13" s="22">
        <v>0</v>
      </c>
      <c r="J13" s="22">
        <v>0</v>
      </c>
      <c r="K13" s="22">
        <v>0</v>
      </c>
      <c r="L13" s="22">
        <v>0</v>
      </c>
      <c r="M13" s="23">
        <f t="shared" si="1"/>
        <v>0</v>
      </c>
      <c r="N13" s="39" t="s">
        <v>51</v>
      </c>
      <c r="O13" s="40" t="s">
        <v>48</v>
      </c>
      <c r="P13" s="16"/>
    </row>
    <row r="14" spans="1:16" ht="14.25" customHeight="1" x14ac:dyDescent="0.3">
      <c r="A14" s="13"/>
      <c r="B14" s="17" t="s">
        <v>58</v>
      </c>
      <c r="C14" s="15" t="s">
        <v>22</v>
      </c>
      <c r="D14" s="18">
        <v>498</v>
      </c>
      <c r="E14" s="47" t="s">
        <v>36</v>
      </c>
      <c r="F14" s="19">
        <v>3</v>
      </c>
      <c r="G14" s="19">
        <v>30</v>
      </c>
      <c r="H14" s="19">
        <f t="shared" si="0"/>
        <v>33</v>
      </c>
      <c r="I14" s="19">
        <v>0</v>
      </c>
      <c r="J14" s="19">
        <v>5</v>
      </c>
      <c r="K14" s="19">
        <v>0</v>
      </c>
      <c r="L14" s="19">
        <v>0</v>
      </c>
      <c r="M14" s="20">
        <f t="shared" si="1"/>
        <v>5</v>
      </c>
      <c r="N14" s="35"/>
      <c r="O14" s="41"/>
      <c r="P14" s="16"/>
    </row>
    <row r="15" spans="1:16" ht="14.25" customHeight="1" x14ac:dyDescent="0.3">
      <c r="A15" s="13"/>
      <c r="B15" s="14"/>
      <c r="C15" s="15"/>
      <c r="D15" s="26"/>
      <c r="E15" s="47" t="s">
        <v>37</v>
      </c>
      <c r="F15" s="19">
        <v>15</v>
      </c>
      <c r="G15" s="19">
        <v>325</v>
      </c>
      <c r="H15" s="19">
        <f t="shared" si="0"/>
        <v>340</v>
      </c>
      <c r="I15" s="19">
        <v>0</v>
      </c>
      <c r="J15" s="19">
        <v>0</v>
      </c>
      <c r="K15" s="19">
        <v>0</v>
      </c>
      <c r="L15" s="19">
        <v>0</v>
      </c>
      <c r="M15" s="20">
        <f t="shared" si="1"/>
        <v>0</v>
      </c>
      <c r="N15" s="35"/>
      <c r="O15" s="36"/>
      <c r="P15" s="16"/>
    </row>
    <row r="16" spans="1:16" ht="14.25" customHeight="1" x14ac:dyDescent="0.3">
      <c r="A16" s="13"/>
      <c r="B16" s="14"/>
      <c r="C16" s="15"/>
      <c r="D16" s="26"/>
      <c r="E16" s="47" t="s">
        <v>38</v>
      </c>
      <c r="F16" s="19">
        <v>100</v>
      </c>
      <c r="G16" s="19">
        <v>400</v>
      </c>
      <c r="H16" s="19">
        <f t="shared" si="0"/>
        <v>500</v>
      </c>
      <c r="I16" s="19">
        <v>0</v>
      </c>
      <c r="J16" s="19">
        <v>0</v>
      </c>
      <c r="K16" s="19">
        <v>0</v>
      </c>
      <c r="L16" s="19">
        <v>0</v>
      </c>
      <c r="M16" s="20">
        <f t="shared" si="1"/>
        <v>0</v>
      </c>
      <c r="N16" s="35"/>
      <c r="O16" s="36"/>
      <c r="P16" s="16"/>
    </row>
    <row r="17" spans="1:16" ht="14.25" customHeight="1" x14ac:dyDescent="0.3">
      <c r="A17" s="54"/>
      <c r="B17" s="55"/>
      <c r="C17" s="56"/>
      <c r="D17" s="57"/>
      <c r="E17" s="58" t="s">
        <v>39</v>
      </c>
      <c r="F17" s="59">
        <v>45</v>
      </c>
      <c r="G17" s="59">
        <v>0</v>
      </c>
      <c r="H17" s="59">
        <f t="shared" si="0"/>
        <v>45</v>
      </c>
      <c r="I17" s="59">
        <v>0</v>
      </c>
      <c r="J17" s="59">
        <v>0</v>
      </c>
      <c r="K17" s="59">
        <v>0</v>
      </c>
      <c r="L17" s="59">
        <v>0</v>
      </c>
      <c r="M17" s="60">
        <f t="shared" si="1"/>
        <v>0</v>
      </c>
      <c r="N17" s="61"/>
      <c r="O17" s="62"/>
      <c r="P17" s="88"/>
    </row>
    <row r="18" spans="1:16" ht="14.25" customHeight="1" x14ac:dyDescent="0.3">
      <c r="A18" s="89"/>
      <c r="B18" s="71"/>
      <c r="C18" s="72"/>
      <c r="D18" s="73">
        <f>SUM(D9:D17)</f>
        <v>901.56</v>
      </c>
      <c r="E18" s="74"/>
      <c r="F18" s="75">
        <f>SUM(F9:F17)</f>
        <v>210</v>
      </c>
      <c r="G18" s="75">
        <f>SUM(G9:G17)</f>
        <v>1287</v>
      </c>
      <c r="H18" s="75">
        <f>SUM(H9:H17)</f>
        <v>1497</v>
      </c>
      <c r="I18" s="75">
        <f>SUM(I9:I17)</f>
        <v>0</v>
      </c>
      <c r="J18" s="75">
        <f>SUM(J9:J17)</f>
        <v>10</v>
      </c>
      <c r="K18" s="75">
        <f>SUM(K8:K17)</f>
        <v>25</v>
      </c>
      <c r="L18" s="75"/>
      <c r="M18" s="75">
        <f>SUM(M9:M17)</f>
        <v>35</v>
      </c>
      <c r="N18" s="76"/>
      <c r="O18" s="77"/>
      <c r="P18" s="75"/>
    </row>
    <row r="19" spans="1:16" ht="14.25" customHeight="1" x14ac:dyDescent="0.3">
      <c r="A19" s="63">
        <v>2</v>
      </c>
      <c r="B19" s="64" t="s">
        <v>23</v>
      </c>
      <c r="C19" s="65"/>
      <c r="D19" s="66"/>
      <c r="E19" s="67"/>
      <c r="F19" s="68"/>
      <c r="G19" s="68"/>
      <c r="H19" s="68"/>
      <c r="I19" s="68"/>
      <c r="J19" s="68"/>
      <c r="K19" s="68"/>
      <c r="L19" s="68"/>
      <c r="M19" s="68"/>
      <c r="N19" s="69"/>
      <c r="O19" s="70"/>
      <c r="P19" s="68"/>
    </row>
    <row r="20" spans="1:16" ht="14.25" customHeight="1" x14ac:dyDescent="0.3">
      <c r="A20" s="13"/>
      <c r="B20" s="14" t="s">
        <v>57</v>
      </c>
      <c r="C20" s="15" t="s">
        <v>22</v>
      </c>
      <c r="D20" s="26">
        <v>198</v>
      </c>
      <c r="E20" s="47" t="s">
        <v>40</v>
      </c>
      <c r="F20" s="19">
        <v>0</v>
      </c>
      <c r="G20" s="19">
        <v>140</v>
      </c>
      <c r="H20" s="19">
        <f t="shared" ref="H20:H21" si="2">SUM(F20:G20)</f>
        <v>140</v>
      </c>
      <c r="I20" s="19">
        <v>0</v>
      </c>
      <c r="J20" s="19">
        <v>15</v>
      </c>
      <c r="K20" s="19">
        <v>5</v>
      </c>
      <c r="L20" s="19">
        <v>0</v>
      </c>
      <c r="M20" s="20">
        <f t="shared" ref="M20:M21" si="3">SUM(I20:L20)</f>
        <v>20</v>
      </c>
      <c r="N20" s="37" t="s">
        <v>51</v>
      </c>
      <c r="O20" s="399" t="s">
        <v>54</v>
      </c>
      <c r="P20" s="16"/>
    </row>
    <row r="21" spans="1:16" ht="16.5" customHeight="1" x14ac:dyDescent="0.3">
      <c r="A21" s="54"/>
      <c r="B21" s="55"/>
      <c r="C21" s="56"/>
      <c r="D21" s="57"/>
      <c r="E21" s="85"/>
      <c r="F21" s="79">
        <v>8</v>
      </c>
      <c r="G21" s="79">
        <v>0</v>
      </c>
      <c r="H21" s="79">
        <f t="shared" si="2"/>
        <v>8</v>
      </c>
      <c r="I21" s="79">
        <v>0</v>
      </c>
      <c r="J21" s="79">
        <v>0</v>
      </c>
      <c r="K21" s="79">
        <v>0</v>
      </c>
      <c r="L21" s="79">
        <v>0</v>
      </c>
      <c r="M21" s="86">
        <f t="shared" si="3"/>
        <v>0</v>
      </c>
      <c r="N21" s="80"/>
      <c r="O21" s="401"/>
      <c r="P21" s="87"/>
    </row>
    <row r="22" spans="1:16" ht="14.25" customHeight="1" x14ac:dyDescent="0.3">
      <c r="A22" s="89"/>
      <c r="B22" s="71"/>
      <c r="C22" s="72"/>
      <c r="D22" s="73">
        <f>SUM(D19:D21)</f>
        <v>198</v>
      </c>
      <c r="E22" s="74"/>
      <c r="F22" s="83">
        <f t="shared" ref="F22:K22" si="4">SUM(F19:F21)</f>
        <v>8</v>
      </c>
      <c r="G22" s="83">
        <f t="shared" si="4"/>
        <v>140</v>
      </c>
      <c r="H22" s="83">
        <f t="shared" si="4"/>
        <v>148</v>
      </c>
      <c r="I22" s="83">
        <f t="shared" si="4"/>
        <v>0</v>
      </c>
      <c r="J22" s="83">
        <f t="shared" si="4"/>
        <v>15</v>
      </c>
      <c r="K22" s="83">
        <f t="shared" si="4"/>
        <v>5</v>
      </c>
      <c r="L22" s="83"/>
      <c r="M22" s="83">
        <f>SUM(M19:M21)</f>
        <v>20</v>
      </c>
      <c r="N22" s="76"/>
      <c r="O22" s="77"/>
      <c r="P22" s="75"/>
    </row>
    <row r="23" spans="1:16" ht="14.25" customHeight="1" x14ac:dyDescent="0.3">
      <c r="A23" s="63">
        <v>3</v>
      </c>
      <c r="B23" s="64" t="s">
        <v>19</v>
      </c>
      <c r="C23" s="65"/>
      <c r="D23" s="66"/>
      <c r="E23" s="67"/>
      <c r="F23" s="82"/>
      <c r="G23" s="82"/>
      <c r="H23" s="82"/>
      <c r="I23" s="82"/>
      <c r="J23" s="82"/>
      <c r="K23" s="82"/>
      <c r="L23" s="82"/>
      <c r="M23" s="82"/>
      <c r="N23" s="69"/>
      <c r="O23" s="70"/>
      <c r="P23" s="68"/>
    </row>
    <row r="24" spans="1:16" ht="14.25" customHeight="1" x14ac:dyDescent="0.3">
      <c r="A24" s="13"/>
      <c r="B24" s="14" t="s">
        <v>57</v>
      </c>
      <c r="C24" s="15" t="s">
        <v>24</v>
      </c>
      <c r="D24" s="26">
        <v>1372.2</v>
      </c>
      <c r="E24" s="50" t="s">
        <v>52</v>
      </c>
      <c r="F24" s="19">
        <v>0</v>
      </c>
      <c r="G24" s="26">
        <v>125</v>
      </c>
      <c r="H24" s="26">
        <f>SUM(F24:G24)</f>
        <v>125</v>
      </c>
      <c r="I24" s="19">
        <v>0</v>
      </c>
      <c r="J24" s="19">
        <v>5</v>
      </c>
      <c r="K24" s="19">
        <v>0</v>
      </c>
      <c r="L24" s="19">
        <v>0</v>
      </c>
      <c r="M24" s="19">
        <f>SUM(I24:L24)</f>
        <v>5</v>
      </c>
      <c r="N24" s="35"/>
      <c r="O24" s="43" t="s">
        <v>148</v>
      </c>
      <c r="P24" s="16"/>
    </row>
    <row r="25" spans="1:16" ht="14.25" customHeight="1" x14ac:dyDescent="0.3">
      <c r="A25" s="13"/>
      <c r="B25" s="14" t="s">
        <v>58</v>
      </c>
      <c r="C25" s="15" t="s">
        <v>25</v>
      </c>
      <c r="D25" s="26">
        <v>995.2</v>
      </c>
      <c r="E25" s="50" t="s">
        <v>52</v>
      </c>
      <c r="F25" s="19">
        <v>0</v>
      </c>
      <c r="G25" s="26">
        <v>85</v>
      </c>
      <c r="H25" s="26">
        <f t="shared" ref="H25:H44" si="5">SUM(F25:G25)</f>
        <v>85</v>
      </c>
      <c r="I25" s="19">
        <v>0</v>
      </c>
      <c r="J25" s="19">
        <v>0</v>
      </c>
      <c r="K25" s="19">
        <v>4</v>
      </c>
      <c r="L25" s="19">
        <v>0</v>
      </c>
      <c r="M25" s="19">
        <f t="shared" ref="M25:M44" si="6">SUM(I25:L25)</f>
        <v>4</v>
      </c>
      <c r="N25" s="35"/>
      <c r="O25" s="43" t="s">
        <v>149</v>
      </c>
      <c r="P25" s="16"/>
    </row>
    <row r="26" spans="1:16" ht="14.25" customHeight="1" x14ac:dyDescent="0.3">
      <c r="A26" s="13"/>
      <c r="B26" s="14" t="s">
        <v>59</v>
      </c>
      <c r="C26" s="15" t="s">
        <v>26</v>
      </c>
      <c r="D26" s="26">
        <v>716.5</v>
      </c>
      <c r="E26" s="50" t="s">
        <v>52</v>
      </c>
      <c r="F26" s="19">
        <v>0</v>
      </c>
      <c r="G26" s="26">
        <v>73</v>
      </c>
      <c r="H26" s="26">
        <f t="shared" si="5"/>
        <v>73</v>
      </c>
      <c r="I26" s="19">
        <v>0</v>
      </c>
      <c r="J26" s="19">
        <v>0</v>
      </c>
      <c r="K26" s="19">
        <v>0</v>
      </c>
      <c r="L26" s="19">
        <v>0</v>
      </c>
      <c r="M26" s="19">
        <f t="shared" si="6"/>
        <v>0</v>
      </c>
      <c r="N26" s="35"/>
      <c r="O26" s="43" t="s">
        <v>150</v>
      </c>
      <c r="P26" s="16"/>
    </row>
    <row r="27" spans="1:16" ht="14.25" customHeight="1" x14ac:dyDescent="0.3">
      <c r="A27" s="13"/>
      <c r="B27" s="14" t="s">
        <v>60</v>
      </c>
      <c r="C27" s="15" t="s">
        <v>55</v>
      </c>
      <c r="D27" s="26">
        <v>955.3</v>
      </c>
      <c r="E27" s="50" t="s">
        <v>52</v>
      </c>
      <c r="F27" s="19">
        <v>0</v>
      </c>
      <c r="G27" s="26">
        <v>90</v>
      </c>
      <c r="H27" s="26">
        <f t="shared" si="5"/>
        <v>90</v>
      </c>
      <c r="I27" s="19">
        <v>0</v>
      </c>
      <c r="J27" s="19">
        <v>0</v>
      </c>
      <c r="K27" s="19">
        <v>0</v>
      </c>
      <c r="L27" s="19">
        <v>0</v>
      </c>
      <c r="M27" s="19">
        <f t="shared" si="6"/>
        <v>0</v>
      </c>
      <c r="N27" s="35"/>
      <c r="O27" s="43" t="s">
        <v>151</v>
      </c>
      <c r="P27" s="16"/>
    </row>
    <row r="28" spans="1:16" ht="14.25" customHeight="1" x14ac:dyDescent="0.3">
      <c r="A28" s="13"/>
      <c r="B28" s="14" t="s">
        <v>61</v>
      </c>
      <c r="C28" s="15" t="s">
        <v>27</v>
      </c>
      <c r="D28" s="26">
        <v>901.2</v>
      </c>
      <c r="E28" s="50" t="s">
        <v>52</v>
      </c>
      <c r="F28" s="19">
        <v>0</v>
      </c>
      <c r="G28" s="26">
        <v>85</v>
      </c>
      <c r="H28" s="26">
        <f t="shared" si="5"/>
        <v>85</v>
      </c>
      <c r="I28" s="19">
        <v>0</v>
      </c>
      <c r="J28" s="19">
        <v>0</v>
      </c>
      <c r="K28" s="19">
        <v>0</v>
      </c>
      <c r="L28" s="19">
        <v>0</v>
      </c>
      <c r="M28" s="19">
        <f t="shared" si="6"/>
        <v>0</v>
      </c>
      <c r="N28" s="35"/>
      <c r="O28" s="44" t="s">
        <v>162</v>
      </c>
      <c r="P28" s="16"/>
    </row>
    <row r="29" spans="1:16" ht="14.25" customHeight="1" x14ac:dyDescent="0.3">
      <c r="A29" s="13"/>
      <c r="B29" s="14" t="s">
        <v>62</v>
      </c>
      <c r="C29" s="15" t="s">
        <v>28</v>
      </c>
      <c r="D29" s="26">
        <v>871</v>
      </c>
      <c r="E29" s="50" t="s">
        <v>52</v>
      </c>
      <c r="F29" s="19">
        <v>0</v>
      </c>
      <c r="G29" s="26">
        <v>80</v>
      </c>
      <c r="H29" s="26">
        <f t="shared" si="5"/>
        <v>80</v>
      </c>
      <c r="I29" s="19">
        <v>0</v>
      </c>
      <c r="J29" s="19">
        <v>0</v>
      </c>
      <c r="K29" s="19">
        <v>0</v>
      </c>
      <c r="L29" s="19">
        <v>0</v>
      </c>
      <c r="M29" s="19">
        <f t="shared" si="6"/>
        <v>0</v>
      </c>
      <c r="N29" s="35"/>
      <c r="O29" s="43" t="s">
        <v>152</v>
      </c>
      <c r="P29" s="16"/>
    </row>
    <row r="30" spans="1:16" ht="14.25" customHeight="1" x14ac:dyDescent="0.3">
      <c r="A30" s="13"/>
      <c r="B30" s="14" t="s">
        <v>63</v>
      </c>
      <c r="C30" s="15" t="s">
        <v>29</v>
      </c>
      <c r="D30" s="26">
        <v>1516</v>
      </c>
      <c r="E30" s="50" t="s">
        <v>52</v>
      </c>
      <c r="F30" s="19">
        <v>0</v>
      </c>
      <c r="G30" s="26">
        <v>148</v>
      </c>
      <c r="H30" s="26">
        <f t="shared" si="5"/>
        <v>148</v>
      </c>
      <c r="I30" s="19">
        <v>0</v>
      </c>
      <c r="J30" s="19">
        <v>0</v>
      </c>
      <c r="K30" s="19">
        <v>0</v>
      </c>
      <c r="L30" s="19">
        <v>0</v>
      </c>
      <c r="M30" s="19">
        <f t="shared" si="6"/>
        <v>0</v>
      </c>
      <c r="N30" s="35"/>
      <c r="O30" s="43" t="s">
        <v>153</v>
      </c>
      <c r="P30" s="16"/>
    </row>
    <row r="31" spans="1:16" ht="14.25" customHeight="1" x14ac:dyDescent="0.3">
      <c r="A31" s="13"/>
      <c r="B31" s="14" t="s">
        <v>64</v>
      </c>
      <c r="C31" s="15" t="s">
        <v>56</v>
      </c>
      <c r="D31" s="26">
        <v>97.2</v>
      </c>
      <c r="E31" s="50" t="s">
        <v>52</v>
      </c>
      <c r="F31" s="19">
        <v>0</v>
      </c>
      <c r="G31" s="26">
        <v>8.4</v>
      </c>
      <c r="H31" s="26">
        <f t="shared" si="5"/>
        <v>8.4</v>
      </c>
      <c r="I31" s="19">
        <v>0</v>
      </c>
      <c r="J31" s="19">
        <v>0</v>
      </c>
      <c r="K31" s="19">
        <v>0</v>
      </c>
      <c r="L31" s="19">
        <v>0</v>
      </c>
      <c r="M31" s="19">
        <f t="shared" si="6"/>
        <v>0</v>
      </c>
      <c r="N31" s="35"/>
      <c r="O31" s="43" t="s">
        <v>154</v>
      </c>
      <c r="P31" s="16"/>
    </row>
    <row r="32" spans="1:16" ht="14.25" customHeight="1" x14ac:dyDescent="0.3">
      <c r="A32" s="13"/>
      <c r="B32" s="14" t="s">
        <v>65</v>
      </c>
      <c r="C32" s="15" t="s">
        <v>30</v>
      </c>
      <c r="D32" s="26">
        <v>1502.3</v>
      </c>
      <c r="E32" s="50" t="s">
        <v>52</v>
      </c>
      <c r="F32" s="19">
        <v>0</v>
      </c>
      <c r="G32" s="26">
        <v>140</v>
      </c>
      <c r="H32" s="26">
        <f t="shared" si="5"/>
        <v>140</v>
      </c>
      <c r="I32" s="19">
        <v>0</v>
      </c>
      <c r="J32" s="19">
        <v>0</v>
      </c>
      <c r="K32" s="19">
        <v>0</v>
      </c>
      <c r="L32" s="19">
        <v>0</v>
      </c>
      <c r="M32" s="19">
        <f t="shared" si="6"/>
        <v>0</v>
      </c>
      <c r="N32" s="35"/>
      <c r="O32" s="43" t="s">
        <v>155</v>
      </c>
      <c r="P32" s="16"/>
    </row>
    <row r="33" spans="1:16" ht="14.25" customHeight="1" x14ac:dyDescent="0.3">
      <c r="A33" s="13"/>
      <c r="B33" s="14" t="s">
        <v>66</v>
      </c>
      <c r="C33" s="15" t="s">
        <v>31</v>
      </c>
      <c r="D33" s="26">
        <v>1518</v>
      </c>
      <c r="E33" s="50" t="s">
        <v>52</v>
      </c>
      <c r="F33" s="19">
        <v>0</v>
      </c>
      <c r="G33" s="26">
        <v>150</v>
      </c>
      <c r="H33" s="26">
        <f t="shared" si="5"/>
        <v>150</v>
      </c>
      <c r="I33" s="19">
        <v>0</v>
      </c>
      <c r="J33" s="19">
        <v>0</v>
      </c>
      <c r="K33" s="19">
        <v>0</v>
      </c>
      <c r="L33" s="19">
        <v>0</v>
      </c>
      <c r="M33" s="19">
        <f t="shared" si="6"/>
        <v>0</v>
      </c>
      <c r="N33" s="35"/>
      <c r="O33" s="43" t="s">
        <v>156</v>
      </c>
      <c r="P33" s="16"/>
    </row>
    <row r="34" spans="1:16" ht="14.25" customHeight="1" x14ac:dyDescent="0.3">
      <c r="A34" s="13"/>
      <c r="B34" s="14" t="s">
        <v>67</v>
      </c>
      <c r="C34" s="15" t="s">
        <v>32</v>
      </c>
      <c r="D34" s="26">
        <v>997.4</v>
      </c>
      <c r="E34" s="50" t="s">
        <v>52</v>
      </c>
      <c r="F34" s="19">
        <v>0</v>
      </c>
      <c r="G34" s="26">
        <v>99</v>
      </c>
      <c r="H34" s="26">
        <f t="shared" si="5"/>
        <v>99</v>
      </c>
      <c r="I34" s="19">
        <v>0</v>
      </c>
      <c r="J34" s="19">
        <v>0</v>
      </c>
      <c r="K34" s="19">
        <v>0</v>
      </c>
      <c r="L34" s="19">
        <v>0</v>
      </c>
      <c r="M34" s="19">
        <f t="shared" si="6"/>
        <v>0</v>
      </c>
      <c r="N34" s="35"/>
      <c r="O34" s="43" t="s">
        <v>157</v>
      </c>
      <c r="P34" s="16"/>
    </row>
    <row r="35" spans="1:16" ht="14.25" customHeight="1" x14ac:dyDescent="0.3">
      <c r="A35" s="13"/>
      <c r="B35" s="14" t="s">
        <v>68</v>
      </c>
      <c r="C35" s="15" t="s">
        <v>33</v>
      </c>
      <c r="D35" s="26">
        <v>1304</v>
      </c>
      <c r="E35" s="50" t="s">
        <v>52</v>
      </c>
      <c r="F35" s="19">
        <v>0</v>
      </c>
      <c r="G35" s="26">
        <v>125</v>
      </c>
      <c r="H35" s="26">
        <f t="shared" si="5"/>
        <v>125</v>
      </c>
      <c r="I35" s="19">
        <v>0</v>
      </c>
      <c r="J35" s="19">
        <v>0</v>
      </c>
      <c r="K35" s="19">
        <v>0</v>
      </c>
      <c r="L35" s="19">
        <v>0</v>
      </c>
      <c r="M35" s="19">
        <f t="shared" si="6"/>
        <v>0</v>
      </c>
      <c r="N35" s="35"/>
      <c r="O35" s="43" t="s">
        <v>158</v>
      </c>
      <c r="P35" s="16"/>
    </row>
    <row r="36" spans="1:16" ht="14.25" customHeight="1" x14ac:dyDescent="0.3">
      <c r="A36" s="13"/>
      <c r="B36" s="14" t="s">
        <v>69</v>
      </c>
      <c r="C36" s="15" t="s">
        <v>34</v>
      </c>
      <c r="D36" s="26">
        <v>1704</v>
      </c>
      <c r="E36" s="50" t="s">
        <v>52</v>
      </c>
      <c r="F36" s="19">
        <v>0</v>
      </c>
      <c r="G36" s="26">
        <v>165</v>
      </c>
      <c r="H36" s="26">
        <f t="shared" si="5"/>
        <v>165</v>
      </c>
      <c r="I36" s="19">
        <v>0</v>
      </c>
      <c r="J36" s="19">
        <v>10</v>
      </c>
      <c r="K36" s="19">
        <v>5</v>
      </c>
      <c r="L36" s="19">
        <v>0</v>
      </c>
      <c r="M36" s="19">
        <f t="shared" si="6"/>
        <v>15</v>
      </c>
      <c r="N36" s="35"/>
      <c r="O36" s="43" t="s">
        <v>159</v>
      </c>
      <c r="P36" s="16"/>
    </row>
    <row r="37" spans="1:16" ht="14.25" customHeight="1" x14ac:dyDescent="0.3">
      <c r="A37" s="13"/>
      <c r="B37" s="14" t="s">
        <v>70</v>
      </c>
      <c r="C37" s="15" t="s">
        <v>35</v>
      </c>
      <c r="D37" s="26">
        <v>1557</v>
      </c>
      <c r="E37" s="50" t="s">
        <v>52</v>
      </c>
      <c r="F37" s="19">
        <v>0</v>
      </c>
      <c r="G37" s="26">
        <v>150</v>
      </c>
      <c r="H37" s="26">
        <f t="shared" si="5"/>
        <v>150</v>
      </c>
      <c r="I37" s="19">
        <v>0</v>
      </c>
      <c r="J37" s="19">
        <v>0</v>
      </c>
      <c r="K37" s="19">
        <v>0</v>
      </c>
      <c r="L37" s="19">
        <v>0</v>
      </c>
      <c r="M37" s="19">
        <f t="shared" si="6"/>
        <v>0</v>
      </c>
      <c r="N37" s="35"/>
      <c r="O37" s="43" t="s">
        <v>160</v>
      </c>
      <c r="P37" s="16"/>
    </row>
    <row r="38" spans="1:16" ht="14.25" customHeight="1" x14ac:dyDescent="0.3">
      <c r="A38" s="13"/>
      <c r="B38" s="14" t="s">
        <v>71</v>
      </c>
      <c r="C38" s="15" t="s">
        <v>21</v>
      </c>
      <c r="D38" s="26">
        <v>1669</v>
      </c>
      <c r="E38" s="50" t="s">
        <v>52</v>
      </c>
      <c r="F38" s="19">
        <v>0</v>
      </c>
      <c r="G38" s="26">
        <v>160</v>
      </c>
      <c r="H38" s="26">
        <f t="shared" si="5"/>
        <v>160</v>
      </c>
      <c r="I38" s="19">
        <v>0</v>
      </c>
      <c r="J38" s="19">
        <v>0</v>
      </c>
      <c r="K38" s="19">
        <v>0</v>
      </c>
      <c r="L38" s="19">
        <v>0</v>
      </c>
      <c r="M38" s="19">
        <f t="shared" si="6"/>
        <v>0</v>
      </c>
      <c r="N38" s="35"/>
      <c r="O38" s="43" t="s">
        <v>161</v>
      </c>
      <c r="P38" s="16"/>
    </row>
    <row r="39" spans="1:16" ht="14.25" customHeight="1" x14ac:dyDescent="0.3">
      <c r="A39" s="13"/>
      <c r="B39" s="14" t="s">
        <v>72</v>
      </c>
      <c r="C39" s="15" t="s">
        <v>42</v>
      </c>
      <c r="D39" s="26">
        <v>773</v>
      </c>
      <c r="E39" s="50" t="s">
        <v>52</v>
      </c>
      <c r="F39" s="19">
        <v>0</v>
      </c>
      <c r="G39" s="26">
        <v>70</v>
      </c>
      <c r="H39" s="26">
        <f t="shared" si="5"/>
        <v>70</v>
      </c>
      <c r="I39" s="19">
        <v>0</v>
      </c>
      <c r="J39" s="19">
        <v>0</v>
      </c>
      <c r="K39" s="19">
        <v>0</v>
      </c>
      <c r="L39" s="19">
        <v>0</v>
      </c>
      <c r="M39" s="19">
        <f t="shared" si="6"/>
        <v>0</v>
      </c>
      <c r="N39" s="35"/>
      <c r="O39" s="36"/>
      <c r="P39" s="16"/>
    </row>
    <row r="40" spans="1:16" ht="14.25" customHeight="1" x14ac:dyDescent="0.3">
      <c r="A40" s="13"/>
      <c r="B40" s="14"/>
      <c r="C40" s="15"/>
      <c r="D40" s="26"/>
      <c r="E40" s="47" t="s">
        <v>45</v>
      </c>
      <c r="F40" s="19">
        <v>0</v>
      </c>
      <c r="G40" s="26">
        <v>55</v>
      </c>
      <c r="H40" s="26">
        <f t="shared" si="5"/>
        <v>55</v>
      </c>
      <c r="I40" s="19">
        <v>0</v>
      </c>
      <c r="J40" s="19">
        <v>0</v>
      </c>
      <c r="K40" s="19">
        <v>0</v>
      </c>
      <c r="L40" s="19">
        <v>0</v>
      </c>
      <c r="M40" s="19">
        <f t="shared" si="6"/>
        <v>0</v>
      </c>
      <c r="N40" s="35"/>
      <c r="O40" s="36"/>
      <c r="P40" s="16"/>
    </row>
    <row r="41" spans="1:16" ht="14.25" customHeight="1" x14ac:dyDescent="0.3">
      <c r="A41" s="13"/>
      <c r="B41" s="14" t="s">
        <v>73</v>
      </c>
      <c r="C41" s="15" t="s">
        <v>22</v>
      </c>
      <c r="D41" s="26">
        <v>1146</v>
      </c>
      <c r="E41" s="50" t="s">
        <v>52</v>
      </c>
      <c r="F41" s="19">
        <v>0</v>
      </c>
      <c r="G41" s="26">
        <v>135</v>
      </c>
      <c r="H41" s="26">
        <f t="shared" si="5"/>
        <v>135</v>
      </c>
      <c r="I41" s="19">
        <v>0</v>
      </c>
      <c r="J41" s="19">
        <v>0</v>
      </c>
      <c r="K41" s="19">
        <v>0</v>
      </c>
      <c r="L41" s="19">
        <v>0</v>
      </c>
      <c r="M41" s="19">
        <f t="shared" si="6"/>
        <v>0</v>
      </c>
      <c r="N41" s="35"/>
      <c r="O41" s="36"/>
      <c r="P41" s="16"/>
    </row>
    <row r="42" spans="1:16" ht="14.25" customHeight="1" x14ac:dyDescent="0.3">
      <c r="A42" s="13"/>
      <c r="B42" s="14"/>
      <c r="C42" s="15"/>
      <c r="D42" s="26"/>
      <c r="E42" s="47" t="s">
        <v>45</v>
      </c>
      <c r="F42" s="19">
        <v>0</v>
      </c>
      <c r="G42" s="26">
        <v>50</v>
      </c>
      <c r="H42" s="26">
        <f t="shared" si="5"/>
        <v>50</v>
      </c>
      <c r="I42" s="19">
        <v>0</v>
      </c>
      <c r="J42" s="19">
        <v>0</v>
      </c>
      <c r="K42" s="19">
        <v>0</v>
      </c>
      <c r="L42" s="19">
        <v>0</v>
      </c>
      <c r="M42" s="19">
        <f t="shared" si="6"/>
        <v>0</v>
      </c>
      <c r="N42" s="35"/>
      <c r="O42" s="36"/>
      <c r="P42" s="16"/>
    </row>
    <row r="43" spans="1:16" ht="14.25" customHeight="1" x14ac:dyDescent="0.3">
      <c r="A43" s="13"/>
      <c r="B43" s="14" t="s">
        <v>74</v>
      </c>
      <c r="C43" s="15" t="s">
        <v>43</v>
      </c>
      <c r="D43" s="26">
        <v>1189</v>
      </c>
      <c r="E43" s="50" t="s">
        <v>52</v>
      </c>
      <c r="F43" s="19">
        <v>0</v>
      </c>
      <c r="G43" s="26">
        <v>110</v>
      </c>
      <c r="H43" s="26">
        <f t="shared" si="5"/>
        <v>110</v>
      </c>
      <c r="I43" s="19">
        <v>0</v>
      </c>
      <c r="J43" s="19">
        <v>0</v>
      </c>
      <c r="K43" s="19">
        <v>0</v>
      </c>
      <c r="L43" s="19">
        <v>0</v>
      </c>
      <c r="M43" s="19">
        <f t="shared" si="6"/>
        <v>0</v>
      </c>
      <c r="N43" s="35"/>
      <c r="O43" s="36"/>
      <c r="P43" s="16"/>
    </row>
    <row r="44" spans="1:16" ht="14.25" customHeight="1" x14ac:dyDescent="0.3">
      <c r="A44" s="54"/>
      <c r="B44" s="55" t="s">
        <v>75</v>
      </c>
      <c r="C44" s="56" t="s">
        <v>44</v>
      </c>
      <c r="D44" s="57">
        <v>1391</v>
      </c>
      <c r="E44" s="78" t="s">
        <v>52</v>
      </c>
      <c r="F44" s="79">
        <v>0</v>
      </c>
      <c r="G44" s="57">
        <v>130</v>
      </c>
      <c r="H44" s="57">
        <f t="shared" si="5"/>
        <v>130</v>
      </c>
      <c r="I44" s="79">
        <v>0</v>
      </c>
      <c r="J44" s="79">
        <v>0</v>
      </c>
      <c r="K44" s="79">
        <v>0</v>
      </c>
      <c r="L44" s="79">
        <v>0</v>
      </c>
      <c r="M44" s="79">
        <f t="shared" si="6"/>
        <v>0</v>
      </c>
      <c r="N44" s="80"/>
      <c r="O44" s="81"/>
      <c r="P44" s="87"/>
    </row>
    <row r="45" spans="1:16" ht="14.25" customHeight="1" x14ac:dyDescent="0.3">
      <c r="A45" s="89"/>
      <c r="B45" s="71"/>
      <c r="C45" s="72"/>
      <c r="D45" s="84">
        <f>SUM(D24:D44)</f>
        <v>22175.3</v>
      </c>
      <c r="E45" s="74"/>
      <c r="F45" s="83">
        <f t="shared" ref="F45:M45" si="7">SUM(F24:F44)</f>
        <v>0</v>
      </c>
      <c r="G45" s="83">
        <f t="shared" si="7"/>
        <v>2233.4</v>
      </c>
      <c r="H45" s="83">
        <f t="shared" si="7"/>
        <v>2233.4</v>
      </c>
      <c r="I45" s="83">
        <f t="shared" si="7"/>
        <v>0</v>
      </c>
      <c r="J45" s="83">
        <f t="shared" si="7"/>
        <v>15</v>
      </c>
      <c r="K45" s="83">
        <f t="shared" si="7"/>
        <v>9</v>
      </c>
      <c r="L45" s="83">
        <f t="shared" si="7"/>
        <v>0</v>
      </c>
      <c r="M45" s="83">
        <f t="shared" si="7"/>
        <v>24</v>
      </c>
      <c r="N45" s="76"/>
      <c r="O45" s="77"/>
      <c r="P45" s="75"/>
    </row>
    <row r="46" spans="1:16" ht="14.25" customHeight="1" x14ac:dyDescent="0.3">
      <c r="A46" s="63">
        <v>4</v>
      </c>
      <c r="B46" s="64" t="s">
        <v>46</v>
      </c>
      <c r="C46" s="65"/>
      <c r="D46" s="66"/>
      <c r="E46" s="67"/>
      <c r="F46" s="82"/>
      <c r="G46" s="82"/>
      <c r="H46" s="82"/>
      <c r="I46" s="82"/>
      <c r="J46" s="82"/>
      <c r="K46" s="82"/>
      <c r="L46" s="82"/>
      <c r="M46" s="82"/>
      <c r="N46" s="69"/>
      <c r="O46" s="70"/>
      <c r="P46" s="68"/>
    </row>
    <row r="47" spans="1:16" ht="14.25" customHeight="1" x14ac:dyDescent="0.3">
      <c r="A47" s="13"/>
      <c r="B47" s="14" t="s">
        <v>57</v>
      </c>
      <c r="C47" s="15" t="s">
        <v>29</v>
      </c>
      <c r="D47" s="26">
        <v>175</v>
      </c>
      <c r="E47" s="47" t="s">
        <v>76</v>
      </c>
      <c r="F47" s="26">
        <v>14</v>
      </c>
      <c r="G47" s="19">
        <v>0</v>
      </c>
      <c r="H47" s="26">
        <f>SUM(F47:G47)</f>
        <v>14</v>
      </c>
      <c r="I47" s="19">
        <v>0</v>
      </c>
      <c r="J47" s="19">
        <v>0</v>
      </c>
      <c r="K47" s="19">
        <v>0</v>
      </c>
      <c r="L47" s="19">
        <v>0</v>
      </c>
      <c r="M47" s="19">
        <f>SUM(I47:L47)</f>
        <v>0</v>
      </c>
      <c r="N47" s="35"/>
      <c r="O47" s="36" t="s">
        <v>93</v>
      </c>
      <c r="P47" s="16"/>
    </row>
    <row r="48" spans="1:16" ht="14.25" customHeight="1" x14ac:dyDescent="0.3">
      <c r="A48" s="13"/>
      <c r="B48" s="14" t="s">
        <v>58</v>
      </c>
      <c r="C48" s="15" t="s">
        <v>33</v>
      </c>
      <c r="D48" s="26">
        <v>270</v>
      </c>
      <c r="E48" s="47" t="s">
        <v>53</v>
      </c>
      <c r="F48" s="26">
        <v>13</v>
      </c>
      <c r="G48" s="19">
        <v>0</v>
      </c>
      <c r="H48" s="26">
        <f t="shared" ref="H48:H52" si="8">SUM(F48:G48)</f>
        <v>13</v>
      </c>
      <c r="I48" s="19">
        <v>0</v>
      </c>
      <c r="J48" s="19">
        <v>0</v>
      </c>
      <c r="K48" s="19">
        <v>0</v>
      </c>
      <c r="L48" s="19">
        <v>0</v>
      </c>
      <c r="M48" s="19">
        <f t="shared" ref="M48:M52" si="9">SUM(I48:L48)</f>
        <v>0</v>
      </c>
      <c r="N48" s="35"/>
      <c r="O48" s="36"/>
      <c r="P48" s="16"/>
    </row>
    <row r="49" spans="1:16" ht="14.25" customHeight="1" x14ac:dyDescent="0.3">
      <c r="A49" s="13"/>
      <c r="B49" s="14" t="s">
        <v>59</v>
      </c>
      <c r="C49" s="15" t="s">
        <v>42</v>
      </c>
      <c r="D49" s="26">
        <v>798.93</v>
      </c>
      <c r="E49" s="47"/>
      <c r="F49" s="26">
        <v>74</v>
      </c>
      <c r="G49" s="19">
        <v>0</v>
      </c>
      <c r="H49" s="26">
        <f t="shared" si="8"/>
        <v>74</v>
      </c>
      <c r="I49" s="19">
        <v>0</v>
      </c>
      <c r="J49" s="19">
        <v>5</v>
      </c>
      <c r="K49" s="19">
        <v>0</v>
      </c>
      <c r="L49" s="19">
        <v>0</v>
      </c>
      <c r="M49" s="19">
        <f t="shared" si="9"/>
        <v>5</v>
      </c>
      <c r="N49" s="35"/>
      <c r="O49" s="36"/>
      <c r="P49" s="16"/>
    </row>
    <row r="50" spans="1:16" ht="14.25" customHeight="1" x14ac:dyDescent="0.3">
      <c r="A50" s="13"/>
      <c r="B50" s="14" t="s">
        <v>60</v>
      </c>
      <c r="C50" s="15" t="s">
        <v>21</v>
      </c>
      <c r="D50" s="26">
        <v>1086.55</v>
      </c>
      <c r="E50" s="47"/>
      <c r="F50" s="26">
        <v>95</v>
      </c>
      <c r="G50" s="19">
        <v>0</v>
      </c>
      <c r="H50" s="26">
        <f t="shared" si="8"/>
        <v>95</v>
      </c>
      <c r="I50" s="19">
        <v>0</v>
      </c>
      <c r="J50" s="19">
        <v>5</v>
      </c>
      <c r="K50" s="19">
        <v>0</v>
      </c>
      <c r="L50" s="19">
        <v>0</v>
      </c>
      <c r="M50" s="19">
        <f t="shared" si="9"/>
        <v>5</v>
      </c>
      <c r="N50" s="35"/>
      <c r="O50" s="36"/>
      <c r="P50" s="16"/>
    </row>
    <row r="51" spans="1:16" ht="14.25" customHeight="1" x14ac:dyDescent="0.3">
      <c r="A51" s="16"/>
      <c r="B51" s="14" t="s">
        <v>61</v>
      </c>
      <c r="C51" s="15" t="s">
        <v>22</v>
      </c>
      <c r="D51" s="26">
        <v>1084.55</v>
      </c>
      <c r="E51" s="47"/>
      <c r="F51" s="26">
        <v>96</v>
      </c>
      <c r="G51" s="19">
        <v>0</v>
      </c>
      <c r="H51" s="26">
        <f t="shared" si="8"/>
        <v>96</v>
      </c>
      <c r="I51" s="19">
        <v>0</v>
      </c>
      <c r="J51" s="19">
        <v>5</v>
      </c>
      <c r="K51" s="19">
        <v>0</v>
      </c>
      <c r="L51" s="19">
        <v>0</v>
      </c>
      <c r="M51" s="19">
        <f t="shared" si="9"/>
        <v>5</v>
      </c>
      <c r="N51" s="35"/>
      <c r="O51" s="36"/>
      <c r="P51" s="16"/>
    </row>
    <row r="52" spans="1:16" ht="14.25" customHeight="1" x14ac:dyDescent="0.3">
      <c r="A52" s="87"/>
      <c r="B52" s="55" t="s">
        <v>62</v>
      </c>
      <c r="C52" s="56" t="s">
        <v>43</v>
      </c>
      <c r="D52" s="57">
        <v>33</v>
      </c>
      <c r="E52" s="85"/>
      <c r="F52" s="57">
        <f t="shared" ref="F52" si="10">10/100*D52</f>
        <v>3.3000000000000003</v>
      </c>
      <c r="G52" s="79">
        <v>0</v>
      </c>
      <c r="H52" s="57">
        <f t="shared" si="8"/>
        <v>3.3000000000000003</v>
      </c>
      <c r="I52" s="79">
        <v>0</v>
      </c>
      <c r="J52" s="79">
        <v>0</v>
      </c>
      <c r="K52" s="79">
        <v>0</v>
      </c>
      <c r="L52" s="79">
        <v>0</v>
      </c>
      <c r="M52" s="79">
        <f t="shared" si="9"/>
        <v>0</v>
      </c>
      <c r="N52" s="80"/>
      <c r="O52" s="81"/>
      <c r="P52" s="87"/>
    </row>
    <row r="53" spans="1:16" ht="14.25" customHeight="1" x14ac:dyDescent="0.3">
      <c r="A53" s="75"/>
      <c r="B53" s="71"/>
      <c r="C53" s="72"/>
      <c r="D53" s="73">
        <f>SUM(D47:D52)</f>
        <v>3448.0299999999997</v>
      </c>
      <c r="E53" s="74"/>
      <c r="F53" s="73">
        <f t="shared" ref="F53:K53" si="11">SUM(F47:F52)</f>
        <v>295.3</v>
      </c>
      <c r="G53" s="83">
        <f t="shared" si="11"/>
        <v>0</v>
      </c>
      <c r="H53" s="73">
        <f t="shared" si="11"/>
        <v>295.3</v>
      </c>
      <c r="I53" s="83">
        <f t="shared" si="11"/>
        <v>0</v>
      </c>
      <c r="J53" s="83">
        <f t="shared" si="11"/>
        <v>15</v>
      </c>
      <c r="K53" s="83">
        <f t="shared" si="11"/>
        <v>0</v>
      </c>
      <c r="L53" s="83"/>
      <c r="M53" s="83">
        <f>SUM(M47:M52)</f>
        <v>15</v>
      </c>
      <c r="N53" s="76"/>
      <c r="O53" s="77"/>
      <c r="P53" s="75"/>
    </row>
    <row r="54" spans="1:16" ht="14.25" customHeight="1" x14ac:dyDescent="0.3">
      <c r="A54" s="63">
        <v>5</v>
      </c>
      <c r="B54" s="64" t="s">
        <v>96</v>
      </c>
      <c r="C54" s="65"/>
      <c r="D54" s="66"/>
      <c r="E54" s="67"/>
      <c r="F54" s="66"/>
      <c r="G54" s="82"/>
      <c r="H54" s="66"/>
      <c r="I54" s="82"/>
      <c r="J54" s="82"/>
      <c r="K54" s="82"/>
      <c r="L54" s="82"/>
      <c r="M54" s="82"/>
      <c r="N54" s="69"/>
      <c r="O54" s="70"/>
      <c r="P54" s="68"/>
    </row>
    <row r="55" spans="1:16" ht="14.25" customHeight="1" x14ac:dyDescent="0.3">
      <c r="A55" s="16"/>
      <c r="B55" s="14" t="s">
        <v>57</v>
      </c>
      <c r="C55" s="15" t="s">
        <v>22</v>
      </c>
      <c r="D55" s="26">
        <v>9.5</v>
      </c>
      <c r="E55" s="47" t="s">
        <v>163</v>
      </c>
      <c r="F55" s="26">
        <v>1</v>
      </c>
      <c r="G55" s="19">
        <v>0</v>
      </c>
      <c r="H55" s="26">
        <f>SUM(F55:G55)</f>
        <v>1</v>
      </c>
      <c r="I55" s="19">
        <v>0</v>
      </c>
      <c r="J55" s="19">
        <v>1</v>
      </c>
      <c r="K55" s="19">
        <v>0</v>
      </c>
      <c r="L55" s="19">
        <v>0</v>
      </c>
      <c r="M55" s="19">
        <f>SUM(I55:L55)</f>
        <v>1</v>
      </c>
      <c r="N55" s="35"/>
      <c r="O55" s="36" t="s">
        <v>136</v>
      </c>
      <c r="P55" s="16"/>
    </row>
    <row r="56" spans="1:16" ht="14.25" customHeight="1" x14ac:dyDescent="0.3">
      <c r="A56" s="16"/>
      <c r="B56" s="14" t="s">
        <v>58</v>
      </c>
      <c r="C56" s="15" t="s">
        <v>21</v>
      </c>
      <c r="D56" s="26">
        <v>17.11</v>
      </c>
      <c r="E56" s="47" t="s">
        <v>164</v>
      </c>
      <c r="F56" s="26">
        <v>2.5</v>
      </c>
      <c r="G56" s="19">
        <v>0</v>
      </c>
      <c r="H56" s="26">
        <f t="shared" ref="H56:H62" si="12">SUM(F56:G56)</f>
        <v>2.5</v>
      </c>
      <c r="I56" s="19">
        <v>0</v>
      </c>
      <c r="J56" s="19">
        <v>2</v>
      </c>
      <c r="K56" s="19">
        <v>0</v>
      </c>
      <c r="L56" s="19">
        <v>0</v>
      </c>
      <c r="M56" s="19">
        <f t="shared" ref="M56:M62" si="13">SUM(I56:L56)</f>
        <v>2</v>
      </c>
      <c r="N56" s="35"/>
      <c r="O56" s="36" t="s">
        <v>50</v>
      </c>
      <c r="P56" s="16"/>
    </row>
    <row r="57" spans="1:16" ht="14.25" customHeight="1" x14ac:dyDescent="0.3">
      <c r="A57" s="16"/>
      <c r="B57" s="14" t="s">
        <v>59</v>
      </c>
      <c r="C57" s="15" t="s">
        <v>43</v>
      </c>
      <c r="D57" s="26">
        <v>17.79</v>
      </c>
      <c r="E57" s="47" t="s">
        <v>163</v>
      </c>
      <c r="F57" s="26">
        <v>1</v>
      </c>
      <c r="G57" s="19">
        <v>0</v>
      </c>
      <c r="H57" s="26">
        <f t="shared" si="12"/>
        <v>1</v>
      </c>
      <c r="I57" s="19">
        <v>0</v>
      </c>
      <c r="J57" s="19">
        <v>1</v>
      </c>
      <c r="K57" s="19">
        <v>1</v>
      </c>
      <c r="L57" s="19">
        <v>0</v>
      </c>
      <c r="M57" s="19">
        <f t="shared" si="13"/>
        <v>2</v>
      </c>
      <c r="N57" s="35"/>
      <c r="O57" s="36" t="s">
        <v>137</v>
      </c>
      <c r="P57" s="16"/>
    </row>
    <row r="58" spans="1:16" ht="14.25" customHeight="1" x14ac:dyDescent="0.3">
      <c r="A58" s="16"/>
      <c r="B58" s="14" t="s">
        <v>60</v>
      </c>
      <c r="C58" s="15" t="s">
        <v>44</v>
      </c>
      <c r="D58" s="26">
        <v>30.5</v>
      </c>
      <c r="E58" s="47" t="s">
        <v>164</v>
      </c>
      <c r="F58" s="26">
        <v>2</v>
      </c>
      <c r="G58" s="19">
        <v>0</v>
      </c>
      <c r="H58" s="26">
        <f t="shared" si="12"/>
        <v>2</v>
      </c>
      <c r="I58" s="19">
        <v>0</v>
      </c>
      <c r="J58" s="19">
        <v>0</v>
      </c>
      <c r="K58" s="19">
        <v>0</v>
      </c>
      <c r="L58" s="19">
        <v>0</v>
      </c>
      <c r="M58" s="19">
        <f t="shared" si="13"/>
        <v>0</v>
      </c>
      <c r="N58" s="35"/>
      <c r="O58" s="36" t="s">
        <v>145</v>
      </c>
      <c r="P58" s="16"/>
    </row>
    <row r="59" spans="1:16" ht="14.25" customHeight="1" x14ac:dyDescent="0.3">
      <c r="A59" s="16"/>
      <c r="B59" s="14" t="s">
        <v>61</v>
      </c>
      <c r="C59" s="15" t="s">
        <v>33</v>
      </c>
      <c r="D59" s="26">
        <v>5.2</v>
      </c>
      <c r="E59" s="47" t="s">
        <v>163</v>
      </c>
      <c r="F59" s="26">
        <v>1.5</v>
      </c>
      <c r="G59" s="19">
        <v>0</v>
      </c>
      <c r="H59" s="26">
        <f t="shared" si="12"/>
        <v>1.5</v>
      </c>
      <c r="I59" s="19">
        <v>0</v>
      </c>
      <c r="J59" s="19">
        <v>0</v>
      </c>
      <c r="K59" s="19">
        <v>0</v>
      </c>
      <c r="L59" s="19">
        <v>0</v>
      </c>
      <c r="M59" s="19">
        <f t="shared" si="13"/>
        <v>0</v>
      </c>
      <c r="N59" s="35"/>
      <c r="O59" s="36" t="s">
        <v>146</v>
      </c>
      <c r="P59" s="16"/>
    </row>
    <row r="60" spans="1:16" ht="14.25" customHeight="1" x14ac:dyDescent="0.3">
      <c r="A60" s="16"/>
      <c r="B60" s="14" t="s">
        <v>62</v>
      </c>
      <c r="C60" s="15" t="s">
        <v>32</v>
      </c>
      <c r="D60" s="26">
        <v>0.25</v>
      </c>
      <c r="E60" s="47" t="s">
        <v>129</v>
      </c>
      <c r="F60" s="26">
        <v>0.1</v>
      </c>
      <c r="G60" s="19">
        <v>0</v>
      </c>
      <c r="H60" s="26">
        <f t="shared" si="12"/>
        <v>0.1</v>
      </c>
      <c r="I60" s="19">
        <v>0</v>
      </c>
      <c r="J60" s="19">
        <v>0</v>
      </c>
      <c r="K60" s="19">
        <v>0</v>
      </c>
      <c r="L60" s="19">
        <v>0</v>
      </c>
      <c r="M60" s="19">
        <f t="shared" si="13"/>
        <v>0</v>
      </c>
      <c r="N60" s="35"/>
      <c r="O60" s="36"/>
      <c r="P60" s="16"/>
    </row>
    <row r="61" spans="1:16" ht="14.25" customHeight="1" x14ac:dyDescent="0.3">
      <c r="A61" s="16"/>
      <c r="B61" s="14">
        <v>9</v>
      </c>
      <c r="C61" s="15" t="s">
        <v>30</v>
      </c>
      <c r="D61" s="26">
        <v>9.5</v>
      </c>
      <c r="E61" s="47" t="s">
        <v>129</v>
      </c>
      <c r="F61" s="26">
        <v>2</v>
      </c>
      <c r="G61" s="19">
        <v>0</v>
      </c>
      <c r="H61" s="26">
        <f t="shared" si="12"/>
        <v>2</v>
      </c>
      <c r="I61" s="19">
        <v>0</v>
      </c>
      <c r="J61" s="19">
        <v>0</v>
      </c>
      <c r="K61" s="19">
        <v>0</v>
      </c>
      <c r="L61" s="19">
        <v>0</v>
      </c>
      <c r="M61" s="19">
        <f t="shared" si="13"/>
        <v>0</v>
      </c>
      <c r="N61" s="35"/>
      <c r="O61" s="36"/>
      <c r="P61" s="16"/>
    </row>
    <row r="62" spans="1:16" ht="14.25" customHeight="1" x14ac:dyDescent="0.3">
      <c r="A62" s="87"/>
      <c r="B62" s="55" t="s">
        <v>64</v>
      </c>
      <c r="C62" s="56" t="s">
        <v>31</v>
      </c>
      <c r="D62" s="57">
        <v>4</v>
      </c>
      <c r="E62" s="85" t="s">
        <v>135</v>
      </c>
      <c r="F62" s="57">
        <v>0.1</v>
      </c>
      <c r="G62" s="79">
        <v>0</v>
      </c>
      <c r="H62" s="57">
        <f t="shared" si="12"/>
        <v>0.1</v>
      </c>
      <c r="I62" s="79">
        <v>0</v>
      </c>
      <c r="J62" s="79">
        <v>0</v>
      </c>
      <c r="K62" s="79">
        <v>0</v>
      </c>
      <c r="L62" s="79">
        <v>0</v>
      </c>
      <c r="M62" s="79">
        <f t="shared" si="13"/>
        <v>0</v>
      </c>
      <c r="N62" s="80"/>
      <c r="O62" s="81"/>
      <c r="P62" s="87"/>
    </row>
    <row r="63" spans="1:16" ht="14.25" customHeight="1" x14ac:dyDescent="0.3">
      <c r="A63" s="75"/>
      <c r="B63" s="71"/>
      <c r="C63" s="72"/>
      <c r="D63" s="73">
        <f>SUM(D55:D62)</f>
        <v>93.850000000000009</v>
      </c>
      <c r="E63" s="74"/>
      <c r="F63" s="73">
        <f t="shared" ref="F63:M63" si="14">SUM(F55:F62)</f>
        <v>10.199999999999999</v>
      </c>
      <c r="G63" s="83">
        <f t="shared" si="14"/>
        <v>0</v>
      </c>
      <c r="H63" s="73">
        <f t="shared" si="14"/>
        <v>10.199999999999999</v>
      </c>
      <c r="I63" s="83">
        <f t="shared" si="14"/>
        <v>0</v>
      </c>
      <c r="J63" s="83">
        <f t="shared" si="14"/>
        <v>4</v>
      </c>
      <c r="K63" s="83">
        <f t="shared" si="14"/>
        <v>1</v>
      </c>
      <c r="L63" s="83">
        <f t="shared" si="14"/>
        <v>0</v>
      </c>
      <c r="M63" s="83">
        <f t="shared" si="14"/>
        <v>5</v>
      </c>
      <c r="N63" s="76"/>
      <c r="O63" s="77"/>
      <c r="P63" s="75"/>
    </row>
    <row r="64" spans="1:16" ht="8.25" customHeight="1" x14ac:dyDescent="0.3">
      <c r="A64" s="6"/>
      <c r="B64" s="9"/>
      <c r="C64" s="11"/>
      <c r="D64" s="6"/>
      <c r="E64" s="52"/>
      <c r="F64" s="7"/>
      <c r="G64" s="7"/>
      <c r="H64" s="7"/>
      <c r="I64" s="7"/>
      <c r="J64" s="7"/>
      <c r="K64" s="7"/>
      <c r="L64" s="7"/>
      <c r="M64" s="7"/>
      <c r="N64" s="9"/>
      <c r="O64" s="11"/>
      <c r="P64" s="6"/>
    </row>
    <row r="65" spans="6:13" x14ac:dyDescent="0.3">
      <c r="F65" s="2"/>
      <c r="G65" s="2"/>
      <c r="H65" s="2"/>
      <c r="I65" s="2"/>
      <c r="J65" s="2"/>
      <c r="K65" s="2"/>
      <c r="L65" s="2"/>
      <c r="M65" s="2"/>
    </row>
  </sheetData>
  <mergeCells count="11">
    <mergeCell ref="A1:P1"/>
    <mergeCell ref="A6:A7"/>
    <mergeCell ref="B6:C6"/>
    <mergeCell ref="D6:D7"/>
    <mergeCell ref="E6:E7"/>
    <mergeCell ref="F6:H6"/>
    <mergeCell ref="I6:M6"/>
    <mergeCell ref="N6:O7"/>
    <mergeCell ref="P6:P7"/>
    <mergeCell ref="B7:C7"/>
    <mergeCell ref="O20:O21"/>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P111"/>
  <sheetViews>
    <sheetView topLeftCell="A19" workbookViewId="0">
      <selection activeCell="F31" sqref="F31"/>
    </sheetView>
  </sheetViews>
  <sheetFormatPr defaultColWidth="9.1796875" defaultRowHeight="14" x14ac:dyDescent="0.3"/>
  <cols>
    <col min="1" max="1" width="9.7265625" style="1" customWidth="1"/>
    <col min="2" max="2" width="2.1796875" style="1" customWidth="1"/>
    <col min="3" max="3" width="17.7265625" style="1" customWidth="1"/>
    <col min="4" max="4" width="11.54296875" style="1" customWidth="1"/>
    <col min="5" max="5" width="27" style="1" customWidth="1"/>
    <col min="6" max="6" width="7.54296875" style="1" bestFit="1" customWidth="1"/>
    <col min="7" max="7" width="8.81640625" style="1" customWidth="1"/>
    <col min="8" max="8" width="7.54296875" style="1" bestFit="1" customWidth="1"/>
    <col min="9" max="9" width="6.453125" style="1" bestFit="1" customWidth="1"/>
    <col min="10" max="10" width="6.81640625" style="1" bestFit="1" customWidth="1"/>
    <col min="11" max="11" width="10" style="1" bestFit="1" customWidth="1"/>
    <col min="12" max="12" width="5.54296875" style="1" bestFit="1" customWidth="1"/>
    <col min="13" max="13" width="6.81640625" style="1" bestFit="1" customWidth="1"/>
    <col min="14" max="14" width="2.1796875" style="1" customWidth="1"/>
    <col min="15" max="15" width="29.7265625" style="1" customWidth="1"/>
    <col min="16" max="16" width="12.1796875" style="1" customWidth="1"/>
    <col min="17" max="16384" width="9.1796875" style="1"/>
  </cols>
  <sheetData>
    <row r="1" spans="1:16" x14ac:dyDescent="0.3">
      <c r="A1" s="385" t="s">
        <v>0</v>
      </c>
      <c r="B1" s="385"/>
      <c r="C1" s="385"/>
      <c r="D1" s="385"/>
      <c r="E1" s="385"/>
      <c r="F1" s="385"/>
      <c r="G1" s="385"/>
      <c r="H1" s="385"/>
      <c r="I1" s="385"/>
      <c r="J1" s="385"/>
      <c r="K1" s="385"/>
      <c r="L1" s="385"/>
      <c r="M1" s="385"/>
      <c r="N1" s="385"/>
      <c r="O1" s="385"/>
      <c r="P1" s="385"/>
    </row>
    <row r="2" spans="1:16" ht="14.25" customHeight="1" x14ac:dyDescent="0.3"/>
    <row r="3" spans="1:16" ht="14.25" customHeight="1" x14ac:dyDescent="0.3">
      <c r="A3" s="1" t="s">
        <v>1</v>
      </c>
      <c r="B3" s="1" t="s">
        <v>78</v>
      </c>
      <c r="C3" s="1" t="s">
        <v>77</v>
      </c>
    </row>
    <row r="4" spans="1:16" ht="14.25" customHeight="1" x14ac:dyDescent="0.3">
      <c r="A4" s="1" t="s">
        <v>2</v>
      </c>
      <c r="B4" s="1" t="s">
        <v>78</v>
      </c>
      <c r="C4" s="4" t="s">
        <v>171</v>
      </c>
    </row>
    <row r="6" spans="1:16" x14ac:dyDescent="0.3">
      <c r="A6" s="386" t="s">
        <v>3</v>
      </c>
      <c r="B6" s="388" t="s">
        <v>4</v>
      </c>
      <c r="C6" s="388"/>
      <c r="D6" s="389" t="s">
        <v>6</v>
      </c>
      <c r="E6" s="391" t="s">
        <v>7</v>
      </c>
      <c r="F6" s="393" t="s">
        <v>170</v>
      </c>
      <c r="G6" s="393"/>
      <c r="H6" s="393"/>
      <c r="I6" s="393" t="s">
        <v>12</v>
      </c>
      <c r="J6" s="393"/>
      <c r="K6" s="393"/>
      <c r="L6" s="393"/>
      <c r="M6" s="393"/>
      <c r="N6" s="391" t="s">
        <v>17</v>
      </c>
      <c r="O6" s="391"/>
      <c r="P6" s="386" t="s">
        <v>18</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ht="14.25" customHeight="1" x14ac:dyDescent="0.3">
      <c r="A9" s="13">
        <v>1</v>
      </c>
      <c r="B9" s="14" t="s">
        <v>20</v>
      </c>
      <c r="C9" s="15"/>
      <c r="D9" s="16"/>
      <c r="E9" s="47"/>
      <c r="F9" s="16"/>
      <c r="G9" s="16"/>
      <c r="H9" s="16"/>
      <c r="I9" s="16"/>
      <c r="J9" s="16"/>
      <c r="K9" s="16"/>
      <c r="L9" s="16"/>
      <c r="M9" s="16"/>
      <c r="N9" s="35"/>
      <c r="O9" s="36"/>
      <c r="P9" s="16"/>
    </row>
    <row r="10" spans="1:16" ht="14.25" customHeight="1" x14ac:dyDescent="0.3">
      <c r="A10" s="13"/>
      <c r="B10" s="17" t="s">
        <v>57</v>
      </c>
      <c r="C10" s="15" t="s">
        <v>21</v>
      </c>
      <c r="D10" s="18">
        <v>403.56</v>
      </c>
      <c r="E10" s="47" t="s">
        <v>36</v>
      </c>
      <c r="F10" s="19">
        <v>0</v>
      </c>
      <c r="G10" s="19"/>
      <c r="H10" s="19">
        <f>SUM(F10:G10)</f>
        <v>0</v>
      </c>
      <c r="I10" s="19">
        <v>0</v>
      </c>
      <c r="J10" s="19"/>
      <c r="K10" s="19"/>
      <c r="L10" s="19"/>
      <c r="M10" s="20">
        <f>SUM(I10:L10)</f>
        <v>0</v>
      </c>
      <c r="N10" s="37"/>
      <c r="O10" s="36"/>
      <c r="P10" s="16"/>
    </row>
    <row r="11" spans="1:16" ht="14.25" customHeight="1" x14ac:dyDescent="0.3">
      <c r="A11" s="13"/>
      <c r="B11" s="17" t="s">
        <v>58</v>
      </c>
      <c r="C11" s="15" t="s">
        <v>22</v>
      </c>
      <c r="D11" s="18">
        <v>728.56</v>
      </c>
      <c r="E11" s="47" t="s">
        <v>36</v>
      </c>
      <c r="F11" s="19"/>
      <c r="G11" s="19"/>
      <c r="H11" s="19">
        <f t="shared" ref="H11:H21" si="0">SUM(F11:G11)</f>
        <v>0</v>
      </c>
      <c r="I11" s="19">
        <v>0</v>
      </c>
      <c r="J11" s="19"/>
      <c r="K11" s="19">
        <v>0</v>
      </c>
      <c r="L11" s="19">
        <v>0</v>
      </c>
      <c r="M11" s="20">
        <f t="shared" ref="M11:M21" si="1">SUM(I11:L11)</f>
        <v>0</v>
      </c>
      <c r="N11" s="35"/>
      <c r="O11" s="41"/>
      <c r="P11" s="16"/>
    </row>
    <row r="12" spans="1:16" ht="14.25" customHeight="1" x14ac:dyDescent="0.3">
      <c r="A12" s="13"/>
      <c r="B12" s="17" t="s">
        <v>178</v>
      </c>
      <c r="C12" s="15" t="s">
        <v>42</v>
      </c>
      <c r="D12" s="18">
        <v>524.28</v>
      </c>
      <c r="E12" s="47"/>
      <c r="F12" s="19"/>
      <c r="G12" s="19"/>
      <c r="H12" s="19"/>
      <c r="I12" s="19"/>
      <c r="J12" s="19"/>
      <c r="K12" s="19"/>
      <c r="L12" s="19"/>
      <c r="M12" s="20"/>
      <c r="N12" s="35"/>
      <c r="O12" s="41"/>
      <c r="P12" s="16"/>
    </row>
    <row r="13" spans="1:16" ht="14.25" customHeight="1" x14ac:dyDescent="0.3">
      <c r="A13" s="13"/>
      <c r="B13" s="17" t="s">
        <v>60</v>
      </c>
      <c r="C13" s="15" t="s">
        <v>43</v>
      </c>
      <c r="D13" s="18">
        <v>213.2</v>
      </c>
      <c r="E13" s="47"/>
      <c r="F13" s="19"/>
      <c r="G13" s="19"/>
      <c r="H13" s="19"/>
      <c r="I13" s="19"/>
      <c r="J13" s="19"/>
      <c r="K13" s="19"/>
      <c r="L13" s="19"/>
      <c r="M13" s="20"/>
      <c r="N13" s="35"/>
      <c r="O13" s="41"/>
      <c r="P13" s="16"/>
    </row>
    <row r="14" spans="1:16" ht="14.25" customHeight="1" x14ac:dyDescent="0.3">
      <c r="A14" s="13"/>
      <c r="B14" s="17" t="s">
        <v>61</v>
      </c>
      <c r="C14" s="15" t="s">
        <v>44</v>
      </c>
      <c r="D14" s="18">
        <v>107.2</v>
      </c>
      <c r="E14" s="47"/>
      <c r="F14" s="19"/>
      <c r="G14" s="19"/>
      <c r="H14" s="19"/>
      <c r="I14" s="19"/>
      <c r="J14" s="19"/>
      <c r="K14" s="19"/>
      <c r="L14" s="19"/>
      <c r="M14" s="20"/>
      <c r="N14" s="35"/>
      <c r="O14" s="41"/>
      <c r="P14" s="16"/>
    </row>
    <row r="15" spans="1:16" ht="14.25" customHeight="1" x14ac:dyDescent="0.3">
      <c r="A15" s="13"/>
      <c r="B15" s="17" t="s">
        <v>62</v>
      </c>
      <c r="C15" s="15" t="s">
        <v>33</v>
      </c>
      <c r="D15" s="18">
        <v>12</v>
      </c>
      <c r="E15" s="47"/>
      <c r="F15" s="19"/>
      <c r="G15" s="19"/>
      <c r="H15" s="19"/>
      <c r="I15" s="19"/>
      <c r="J15" s="19"/>
      <c r="K15" s="19"/>
      <c r="L15" s="19"/>
      <c r="M15" s="20"/>
      <c r="N15" s="35"/>
      <c r="O15" s="41"/>
      <c r="P15" s="16"/>
    </row>
    <row r="16" spans="1:16" ht="14.25" customHeight="1" x14ac:dyDescent="0.3">
      <c r="A16" s="13"/>
      <c r="B16" s="17">
        <v>9</v>
      </c>
      <c r="C16" s="15" t="s">
        <v>32</v>
      </c>
      <c r="D16" s="18">
        <v>21.5</v>
      </c>
      <c r="E16" s="47"/>
      <c r="F16" s="19"/>
      <c r="G16" s="19"/>
      <c r="H16" s="19"/>
      <c r="I16" s="19"/>
      <c r="J16" s="19"/>
      <c r="K16" s="19"/>
      <c r="L16" s="19"/>
      <c r="M16" s="20"/>
      <c r="N16" s="35"/>
      <c r="O16" s="41"/>
      <c r="P16" s="16"/>
    </row>
    <row r="17" spans="1:16" ht="14.25" customHeight="1" x14ac:dyDescent="0.3">
      <c r="A17" s="13"/>
      <c r="B17" s="17" t="s">
        <v>64</v>
      </c>
      <c r="C17" s="15" t="s">
        <v>30</v>
      </c>
      <c r="D17" s="18">
        <v>5</v>
      </c>
      <c r="E17" s="47"/>
      <c r="F17" s="19"/>
      <c r="G17" s="19"/>
      <c r="H17" s="19"/>
      <c r="I17" s="19"/>
      <c r="J17" s="19"/>
      <c r="K17" s="19"/>
      <c r="L17" s="19"/>
      <c r="M17" s="20"/>
      <c r="N17" s="35"/>
      <c r="O17" s="41"/>
      <c r="P17" s="16"/>
    </row>
    <row r="18" spans="1:16" ht="14.25" customHeight="1" x14ac:dyDescent="0.3">
      <c r="A18" s="13"/>
      <c r="B18" s="17" t="s">
        <v>65</v>
      </c>
      <c r="C18" s="15" t="s">
        <v>28</v>
      </c>
      <c r="D18" s="18">
        <v>22</v>
      </c>
      <c r="E18" s="47"/>
      <c r="F18" s="19"/>
      <c r="G18" s="19"/>
      <c r="H18" s="19"/>
      <c r="I18" s="19"/>
      <c r="J18" s="19"/>
      <c r="K18" s="19"/>
      <c r="L18" s="19"/>
      <c r="M18" s="20"/>
      <c r="N18" s="35"/>
      <c r="O18" s="41"/>
      <c r="P18" s="16"/>
    </row>
    <row r="19" spans="1:16" ht="14.25" customHeight="1" x14ac:dyDescent="0.3">
      <c r="A19" s="13"/>
      <c r="B19" s="17" t="s">
        <v>66</v>
      </c>
      <c r="C19" s="15" t="s">
        <v>27</v>
      </c>
      <c r="D19" s="18">
        <v>104.7</v>
      </c>
      <c r="E19" s="47"/>
      <c r="F19" s="19"/>
      <c r="G19" s="19"/>
      <c r="H19" s="19"/>
      <c r="I19" s="19"/>
      <c r="J19" s="19"/>
      <c r="K19" s="19"/>
      <c r="L19" s="19"/>
      <c r="M19" s="20"/>
      <c r="N19" s="35"/>
      <c r="O19" s="41"/>
      <c r="P19" s="16"/>
    </row>
    <row r="20" spans="1:16" ht="14.25" customHeight="1" x14ac:dyDescent="0.3">
      <c r="A20" s="13"/>
      <c r="B20" s="14"/>
      <c r="C20" s="15"/>
      <c r="D20" s="26"/>
      <c r="E20" s="47"/>
      <c r="F20" s="19"/>
      <c r="G20" s="19"/>
      <c r="H20" s="19">
        <f t="shared" si="0"/>
        <v>0</v>
      </c>
      <c r="I20" s="19">
        <v>0</v>
      </c>
      <c r="J20" s="19">
        <v>0</v>
      </c>
      <c r="K20" s="19">
        <v>0</v>
      </c>
      <c r="L20" s="19">
        <v>0</v>
      </c>
      <c r="M20" s="20">
        <f t="shared" si="1"/>
        <v>0</v>
      </c>
      <c r="N20" s="35"/>
      <c r="O20" s="36"/>
      <c r="P20" s="16"/>
    </row>
    <row r="21" spans="1:16" ht="14.25" customHeight="1" x14ac:dyDescent="0.3">
      <c r="A21" s="54"/>
      <c r="B21" s="55"/>
      <c r="C21" s="56"/>
      <c r="D21" s="57"/>
      <c r="E21" s="58"/>
      <c r="F21" s="59"/>
      <c r="G21" s="59">
        <v>0</v>
      </c>
      <c r="H21" s="59">
        <f t="shared" si="0"/>
        <v>0</v>
      </c>
      <c r="I21" s="59">
        <v>0</v>
      </c>
      <c r="J21" s="59">
        <v>0</v>
      </c>
      <c r="K21" s="59">
        <v>0</v>
      </c>
      <c r="L21" s="59">
        <v>0</v>
      </c>
      <c r="M21" s="60">
        <f t="shared" si="1"/>
        <v>0</v>
      </c>
      <c r="N21" s="61"/>
      <c r="O21" s="62"/>
      <c r="P21" s="88"/>
    </row>
    <row r="22" spans="1:16" ht="14.25" customHeight="1" x14ac:dyDescent="0.3">
      <c r="A22" s="89"/>
      <c r="B22" s="71"/>
      <c r="C22" s="72"/>
      <c r="D22" s="73">
        <f>SUM(D9:D21)</f>
        <v>2142</v>
      </c>
      <c r="E22" s="74"/>
      <c r="F22" s="75">
        <f>SUM(F9:F21)</f>
        <v>0</v>
      </c>
      <c r="G22" s="75">
        <f>SUM(G9:G21)</f>
        <v>0</v>
      </c>
      <c r="H22" s="75">
        <f>SUM(H9:H21)</f>
        <v>0</v>
      </c>
      <c r="I22" s="75">
        <f>SUM(I9:I21)</f>
        <v>0</v>
      </c>
      <c r="J22" s="75">
        <f>SUM(J9:J21)</f>
        <v>0</v>
      </c>
      <c r="K22" s="75">
        <f>SUM(K8:K21)</f>
        <v>0</v>
      </c>
      <c r="L22" s="75"/>
      <c r="M22" s="75">
        <f>SUM(M9:M21)</f>
        <v>0</v>
      </c>
      <c r="N22" s="76"/>
      <c r="O22" s="77"/>
      <c r="P22" s="75"/>
    </row>
    <row r="23" spans="1:16" ht="14.25" customHeight="1" x14ac:dyDescent="0.3">
      <c r="A23" s="63">
        <v>2</v>
      </c>
      <c r="B23" s="64" t="s">
        <v>179</v>
      </c>
      <c r="C23" s="65"/>
      <c r="D23" s="66"/>
      <c r="E23" s="67"/>
      <c r="F23" s="68"/>
      <c r="G23" s="68"/>
      <c r="H23" s="68"/>
      <c r="I23" s="68"/>
      <c r="J23" s="68"/>
      <c r="K23" s="68"/>
      <c r="L23" s="68"/>
      <c r="M23" s="68"/>
      <c r="N23" s="69"/>
      <c r="O23" s="70"/>
      <c r="P23" s="68"/>
    </row>
    <row r="24" spans="1:16" ht="14.25" customHeight="1" x14ac:dyDescent="0.3">
      <c r="A24" s="13"/>
      <c r="B24" s="14" t="s">
        <v>57</v>
      </c>
      <c r="C24" s="15" t="s">
        <v>22</v>
      </c>
      <c r="D24" s="26">
        <v>198</v>
      </c>
      <c r="E24" s="47" t="s">
        <v>40</v>
      </c>
      <c r="F24" s="19">
        <v>0</v>
      </c>
      <c r="G24" s="19">
        <v>140</v>
      </c>
      <c r="H24" s="19">
        <f t="shared" ref="H24:H33" si="2">SUM(F24:G24)</f>
        <v>140</v>
      </c>
      <c r="I24" s="19">
        <v>0</v>
      </c>
      <c r="J24" s="19">
        <v>15</v>
      </c>
      <c r="K24" s="19">
        <v>5</v>
      </c>
      <c r="L24" s="19">
        <v>0</v>
      </c>
      <c r="M24" s="20">
        <f t="shared" ref="M24:M33" si="3">SUM(I24:L24)</f>
        <v>20</v>
      </c>
      <c r="N24" s="37" t="s">
        <v>51</v>
      </c>
      <c r="O24" s="399" t="s">
        <v>54</v>
      </c>
      <c r="P24" s="16"/>
    </row>
    <row r="25" spans="1:16" ht="14.25" customHeight="1" x14ac:dyDescent="0.3">
      <c r="A25" s="54"/>
      <c r="B25" s="55" t="s">
        <v>58</v>
      </c>
      <c r="C25" s="56" t="s">
        <v>42</v>
      </c>
      <c r="D25" s="57">
        <v>55</v>
      </c>
      <c r="E25" s="85"/>
      <c r="F25" s="79"/>
      <c r="G25" s="79"/>
      <c r="H25" s="79"/>
      <c r="I25" s="79"/>
      <c r="J25" s="79"/>
      <c r="K25" s="79"/>
      <c r="L25" s="79"/>
      <c r="M25" s="86"/>
      <c r="N25" s="95"/>
      <c r="O25" s="401"/>
      <c r="P25" s="87"/>
    </row>
    <row r="26" spans="1:16" ht="14.25" customHeight="1" x14ac:dyDescent="0.3">
      <c r="A26" s="54"/>
      <c r="B26" s="55" t="s">
        <v>59</v>
      </c>
      <c r="C26" s="56" t="s">
        <v>21</v>
      </c>
      <c r="D26" s="57">
        <v>67.44</v>
      </c>
      <c r="E26" s="85"/>
      <c r="F26" s="79"/>
      <c r="G26" s="79"/>
      <c r="H26" s="79"/>
      <c r="I26" s="79"/>
      <c r="J26" s="79"/>
      <c r="K26" s="79"/>
      <c r="L26" s="79"/>
      <c r="M26" s="86"/>
      <c r="N26" s="95"/>
      <c r="O26" s="401"/>
      <c r="P26" s="87"/>
    </row>
    <row r="27" spans="1:16" ht="14.25" customHeight="1" x14ac:dyDescent="0.3">
      <c r="A27" s="54"/>
      <c r="B27" s="55" t="s">
        <v>60</v>
      </c>
      <c r="C27" s="56" t="s">
        <v>44</v>
      </c>
      <c r="D27" s="57">
        <v>10.23</v>
      </c>
      <c r="E27" s="85"/>
      <c r="F27" s="79"/>
      <c r="G27" s="79"/>
      <c r="H27" s="79"/>
      <c r="I27" s="79"/>
      <c r="J27" s="79"/>
      <c r="K27" s="79"/>
      <c r="L27" s="79"/>
      <c r="M27" s="86"/>
      <c r="N27" s="95"/>
      <c r="O27" s="401"/>
      <c r="P27" s="87"/>
    </row>
    <row r="28" spans="1:16" ht="14.25" customHeight="1" x14ac:dyDescent="0.3">
      <c r="A28" s="54"/>
      <c r="B28" s="55" t="s">
        <v>61</v>
      </c>
      <c r="C28" s="56" t="s">
        <v>33</v>
      </c>
      <c r="D28" s="57">
        <v>8.5</v>
      </c>
      <c r="E28" s="85"/>
      <c r="F28" s="79"/>
      <c r="G28" s="79"/>
      <c r="H28" s="79"/>
      <c r="I28" s="79"/>
      <c r="J28" s="79"/>
      <c r="K28" s="79"/>
      <c r="L28" s="79"/>
      <c r="M28" s="86"/>
      <c r="N28" s="95"/>
      <c r="O28" s="401"/>
      <c r="P28" s="87"/>
    </row>
    <row r="29" spans="1:16" ht="14.25" customHeight="1" x14ac:dyDescent="0.3">
      <c r="A29" s="54"/>
      <c r="B29" s="55" t="s">
        <v>62</v>
      </c>
      <c r="C29" s="56" t="s">
        <v>32</v>
      </c>
      <c r="D29" s="57">
        <v>2</v>
      </c>
      <c r="E29" s="85"/>
      <c r="F29" s="79"/>
      <c r="G29" s="79"/>
      <c r="H29" s="79"/>
      <c r="I29" s="79"/>
      <c r="J29" s="79"/>
      <c r="K29" s="79"/>
      <c r="L29" s="79"/>
      <c r="M29" s="86"/>
      <c r="N29" s="95"/>
      <c r="O29" s="401"/>
      <c r="P29" s="87"/>
    </row>
    <row r="30" spans="1:16" ht="14.25" customHeight="1" x14ac:dyDescent="0.3">
      <c r="A30" s="54"/>
      <c r="B30" s="55">
        <v>9</v>
      </c>
      <c r="C30" s="56" t="s">
        <v>31</v>
      </c>
      <c r="D30" s="57">
        <v>3.5</v>
      </c>
      <c r="E30" s="85"/>
      <c r="F30" s="79"/>
      <c r="G30" s="79"/>
      <c r="H30" s="79"/>
      <c r="I30" s="79"/>
      <c r="J30" s="79"/>
      <c r="K30" s="79"/>
      <c r="L30" s="79"/>
      <c r="M30" s="86"/>
      <c r="N30" s="95"/>
      <c r="O30" s="401"/>
      <c r="P30" s="87"/>
    </row>
    <row r="31" spans="1:16" ht="14.25" customHeight="1" x14ac:dyDescent="0.3">
      <c r="A31" s="54"/>
      <c r="B31" s="55" t="s">
        <v>64</v>
      </c>
      <c r="C31" s="56"/>
      <c r="D31" s="57"/>
      <c r="E31" s="85"/>
      <c r="F31" s="79"/>
      <c r="G31" s="79"/>
      <c r="H31" s="79"/>
      <c r="I31" s="79"/>
      <c r="J31" s="79"/>
      <c r="K31" s="79"/>
      <c r="L31" s="79"/>
      <c r="M31" s="86"/>
      <c r="N31" s="95"/>
      <c r="O31" s="401"/>
      <c r="P31" s="87"/>
    </row>
    <row r="32" spans="1:16" ht="14.25" customHeight="1" x14ac:dyDescent="0.3">
      <c r="A32" s="54"/>
      <c r="B32" s="55"/>
      <c r="C32" s="56"/>
      <c r="D32" s="57"/>
      <c r="E32" s="85"/>
      <c r="F32" s="79"/>
      <c r="G32" s="79"/>
      <c r="H32" s="79"/>
      <c r="I32" s="79"/>
      <c r="J32" s="79"/>
      <c r="K32" s="79"/>
      <c r="L32" s="79"/>
      <c r="M32" s="86"/>
      <c r="N32" s="95"/>
      <c r="O32" s="401"/>
      <c r="P32" s="87"/>
    </row>
    <row r="33" spans="1:16" ht="16.5" customHeight="1" x14ac:dyDescent="0.3">
      <c r="A33" s="54"/>
      <c r="B33" s="55"/>
      <c r="C33" s="56"/>
      <c r="D33" s="57"/>
      <c r="E33" s="85" t="s">
        <v>41</v>
      </c>
      <c r="F33" s="79">
        <v>8</v>
      </c>
      <c r="G33" s="79">
        <v>0</v>
      </c>
      <c r="H33" s="79">
        <f t="shared" si="2"/>
        <v>8</v>
      </c>
      <c r="I33" s="79">
        <v>0</v>
      </c>
      <c r="J33" s="79">
        <v>0</v>
      </c>
      <c r="K33" s="79">
        <v>0</v>
      </c>
      <c r="L33" s="79">
        <v>0</v>
      </c>
      <c r="M33" s="86">
        <f t="shared" si="3"/>
        <v>0</v>
      </c>
      <c r="N33" s="80"/>
      <c r="O33" s="401"/>
      <c r="P33" s="87"/>
    </row>
    <row r="34" spans="1:16" ht="14.25" customHeight="1" x14ac:dyDescent="0.3">
      <c r="A34" s="89"/>
      <c r="B34" s="71"/>
      <c r="C34" s="72"/>
      <c r="D34" s="73">
        <f>SUM(D23:D33)</f>
        <v>344.67</v>
      </c>
      <c r="E34" s="74"/>
      <c r="F34" s="83">
        <f t="shared" ref="F34:K34" si="4">SUM(F23:F33)</f>
        <v>8</v>
      </c>
      <c r="G34" s="83">
        <f t="shared" si="4"/>
        <v>140</v>
      </c>
      <c r="H34" s="83">
        <f t="shared" si="4"/>
        <v>148</v>
      </c>
      <c r="I34" s="83">
        <f t="shared" si="4"/>
        <v>0</v>
      </c>
      <c r="J34" s="83">
        <f t="shared" si="4"/>
        <v>15</v>
      </c>
      <c r="K34" s="83">
        <f t="shared" si="4"/>
        <v>5</v>
      </c>
      <c r="L34" s="83"/>
      <c r="M34" s="83">
        <f>SUM(M23:M33)</f>
        <v>20</v>
      </c>
      <c r="N34" s="76"/>
      <c r="O34" s="77"/>
      <c r="P34" s="75"/>
    </row>
    <row r="35" spans="1:16" ht="14.25" customHeight="1" x14ac:dyDescent="0.3">
      <c r="A35" s="63">
        <v>3</v>
      </c>
      <c r="B35" s="64" t="s">
        <v>19</v>
      </c>
      <c r="C35" s="65"/>
      <c r="D35" s="66"/>
      <c r="E35" s="67"/>
      <c r="F35" s="82"/>
      <c r="G35" s="82"/>
      <c r="H35" s="82"/>
      <c r="I35" s="82"/>
      <c r="J35" s="82"/>
      <c r="K35" s="82"/>
      <c r="L35" s="82"/>
      <c r="M35" s="82"/>
      <c r="N35" s="69"/>
      <c r="O35" s="70"/>
      <c r="P35" s="68"/>
    </row>
    <row r="36" spans="1:16" ht="14.25" customHeight="1" x14ac:dyDescent="0.3">
      <c r="A36" s="13"/>
      <c r="B36" s="14" t="s">
        <v>57</v>
      </c>
      <c r="C36" s="15" t="s">
        <v>24</v>
      </c>
      <c r="D36" s="26">
        <f>1347+488.05</f>
        <v>1835.05</v>
      </c>
      <c r="E36" s="50" t="s">
        <v>52</v>
      </c>
      <c r="F36" s="19">
        <v>0</v>
      </c>
      <c r="G36" s="26">
        <v>125</v>
      </c>
      <c r="H36" s="26">
        <f>SUM(F36:G36)</f>
        <v>125</v>
      </c>
      <c r="I36" s="19">
        <v>0</v>
      </c>
      <c r="J36" s="19">
        <v>5</v>
      </c>
      <c r="K36" s="19">
        <v>0</v>
      </c>
      <c r="L36" s="19">
        <v>0</v>
      </c>
      <c r="M36" s="19">
        <f>SUM(I36:L36)</f>
        <v>5</v>
      </c>
      <c r="N36" s="35"/>
      <c r="O36" s="43" t="s">
        <v>148</v>
      </c>
      <c r="P36" s="16"/>
    </row>
    <row r="37" spans="1:16" ht="14.25" customHeight="1" x14ac:dyDescent="0.3">
      <c r="A37" s="13"/>
      <c r="B37" s="14" t="s">
        <v>58</v>
      </c>
      <c r="C37" s="15" t="s">
        <v>25</v>
      </c>
      <c r="D37" s="26">
        <f>1347+488.05</f>
        <v>1835.05</v>
      </c>
      <c r="E37" s="50" t="s">
        <v>52</v>
      </c>
      <c r="F37" s="19">
        <v>0</v>
      </c>
      <c r="G37" s="26">
        <v>85</v>
      </c>
      <c r="H37" s="26">
        <f t="shared" ref="H37:H59" si="5">SUM(F37:G37)</f>
        <v>85</v>
      </c>
      <c r="I37" s="19">
        <v>0</v>
      </c>
      <c r="J37" s="19">
        <v>0</v>
      </c>
      <c r="K37" s="19">
        <v>4</v>
      </c>
      <c r="L37" s="19">
        <v>0</v>
      </c>
      <c r="M37" s="19">
        <f t="shared" ref="M37:M59" si="6">SUM(I37:L37)</f>
        <v>4</v>
      </c>
      <c r="N37" s="35"/>
      <c r="O37" s="43" t="s">
        <v>149</v>
      </c>
      <c r="P37" s="16"/>
    </row>
    <row r="38" spans="1:16" ht="14.25" customHeight="1" x14ac:dyDescent="0.3">
      <c r="A38" s="13"/>
      <c r="B38" s="14" t="s">
        <v>59</v>
      </c>
      <c r="C38" s="15" t="s">
        <v>26</v>
      </c>
      <c r="D38" s="26">
        <f>976.5+338</f>
        <v>1314.5</v>
      </c>
      <c r="E38" s="50" t="s">
        <v>52</v>
      </c>
      <c r="F38" s="19">
        <v>0</v>
      </c>
      <c r="G38" s="26">
        <v>73</v>
      </c>
      <c r="H38" s="26">
        <f t="shared" si="5"/>
        <v>73</v>
      </c>
      <c r="I38" s="19">
        <v>0</v>
      </c>
      <c r="J38" s="19">
        <v>0</v>
      </c>
      <c r="K38" s="19">
        <v>0</v>
      </c>
      <c r="L38" s="19">
        <v>0</v>
      </c>
      <c r="M38" s="19">
        <f t="shared" si="6"/>
        <v>0</v>
      </c>
      <c r="N38" s="35"/>
      <c r="O38" s="43" t="s">
        <v>150</v>
      </c>
      <c r="P38" s="16"/>
    </row>
    <row r="39" spans="1:16" ht="14.25" customHeight="1" x14ac:dyDescent="0.3">
      <c r="A39" s="13"/>
      <c r="B39" s="14" t="s">
        <v>60</v>
      </c>
      <c r="C39" s="15" t="s">
        <v>55</v>
      </c>
      <c r="D39" s="26">
        <f>291.6+46.93</f>
        <v>338.53000000000003</v>
      </c>
      <c r="E39" s="50" t="s">
        <v>52</v>
      </c>
      <c r="F39" s="19">
        <v>0</v>
      </c>
      <c r="G39" s="26">
        <v>90</v>
      </c>
      <c r="H39" s="26">
        <f t="shared" si="5"/>
        <v>90</v>
      </c>
      <c r="I39" s="19">
        <v>0</v>
      </c>
      <c r="J39" s="19">
        <v>0</v>
      </c>
      <c r="K39" s="19">
        <v>0</v>
      </c>
      <c r="L39" s="19">
        <v>0</v>
      </c>
      <c r="M39" s="19">
        <f t="shared" si="6"/>
        <v>0</v>
      </c>
      <c r="N39" s="35"/>
      <c r="O39" s="43" t="s">
        <v>151</v>
      </c>
      <c r="P39" s="16"/>
    </row>
    <row r="40" spans="1:16" ht="14.25" customHeight="1" x14ac:dyDescent="0.3">
      <c r="A40" s="13"/>
      <c r="B40" s="14" t="s">
        <v>61</v>
      </c>
      <c r="C40" s="15" t="s">
        <v>27</v>
      </c>
      <c r="D40" s="26">
        <f>831.5+161.25</f>
        <v>992.75</v>
      </c>
      <c r="E40" s="50" t="s">
        <v>52</v>
      </c>
      <c r="F40" s="19">
        <v>0</v>
      </c>
      <c r="G40" s="26">
        <v>85</v>
      </c>
      <c r="H40" s="26">
        <f t="shared" si="5"/>
        <v>85</v>
      </c>
      <c r="I40" s="19">
        <v>0</v>
      </c>
      <c r="J40" s="19">
        <v>0</v>
      </c>
      <c r="K40" s="19">
        <v>0</v>
      </c>
      <c r="L40" s="19">
        <v>0</v>
      </c>
      <c r="M40" s="19">
        <f t="shared" si="6"/>
        <v>0</v>
      </c>
      <c r="N40" s="35"/>
      <c r="O40" s="44" t="s">
        <v>162</v>
      </c>
      <c r="P40" s="16"/>
    </row>
    <row r="41" spans="1:16" ht="14.25" customHeight="1" x14ac:dyDescent="0.3">
      <c r="A41" s="13"/>
      <c r="B41" s="14" t="s">
        <v>62</v>
      </c>
      <c r="C41" s="15" t="s">
        <v>28</v>
      </c>
      <c r="D41" s="26">
        <f>868+618.6</f>
        <v>1486.6</v>
      </c>
      <c r="E41" s="50" t="s">
        <v>52</v>
      </c>
      <c r="F41" s="19">
        <v>0</v>
      </c>
      <c r="G41" s="26">
        <v>80</v>
      </c>
      <c r="H41" s="26">
        <f t="shared" si="5"/>
        <v>80</v>
      </c>
      <c r="I41" s="19">
        <v>0</v>
      </c>
      <c r="J41" s="19">
        <v>0</v>
      </c>
      <c r="K41" s="19">
        <v>0</v>
      </c>
      <c r="L41" s="19">
        <v>0</v>
      </c>
      <c r="M41" s="19">
        <f t="shared" si="6"/>
        <v>0</v>
      </c>
      <c r="N41" s="35"/>
      <c r="O41" s="43" t="s">
        <v>152</v>
      </c>
      <c r="P41" s="16"/>
    </row>
    <row r="42" spans="1:16" ht="14.25" customHeight="1" x14ac:dyDescent="0.3">
      <c r="A42" s="13"/>
      <c r="B42" s="14" t="s">
        <v>63</v>
      </c>
      <c r="C42" s="15" t="s">
        <v>29</v>
      </c>
      <c r="D42" s="26">
        <f>1546+278.5</f>
        <v>1824.5</v>
      </c>
      <c r="E42" s="50" t="s">
        <v>52</v>
      </c>
      <c r="F42" s="19">
        <v>0</v>
      </c>
      <c r="G42" s="26">
        <v>148</v>
      </c>
      <c r="H42" s="26">
        <f t="shared" si="5"/>
        <v>148</v>
      </c>
      <c r="I42" s="19">
        <v>0</v>
      </c>
      <c r="J42" s="19">
        <v>0</v>
      </c>
      <c r="K42" s="19">
        <v>0</v>
      </c>
      <c r="L42" s="19">
        <v>0</v>
      </c>
      <c r="M42" s="19">
        <f t="shared" si="6"/>
        <v>0</v>
      </c>
      <c r="N42" s="35"/>
      <c r="O42" s="43" t="s">
        <v>153</v>
      </c>
      <c r="P42" s="16"/>
    </row>
    <row r="43" spans="1:16" ht="14.25" customHeight="1" x14ac:dyDescent="0.3">
      <c r="A43" s="13"/>
      <c r="B43" s="14" t="s">
        <v>64</v>
      </c>
      <c r="C43" s="15" t="s">
        <v>56</v>
      </c>
      <c r="D43" s="26">
        <f>156.4+34.9</f>
        <v>191.3</v>
      </c>
      <c r="E43" s="50" t="s">
        <v>52</v>
      </c>
      <c r="F43" s="19">
        <v>0</v>
      </c>
      <c r="G43" s="26">
        <v>8.4</v>
      </c>
      <c r="H43" s="26">
        <f t="shared" si="5"/>
        <v>8.4</v>
      </c>
      <c r="I43" s="19">
        <v>0</v>
      </c>
      <c r="J43" s="19">
        <v>0</v>
      </c>
      <c r="K43" s="19">
        <v>0</v>
      </c>
      <c r="L43" s="19">
        <v>0</v>
      </c>
      <c r="M43" s="19">
        <f t="shared" si="6"/>
        <v>0</v>
      </c>
      <c r="N43" s="35"/>
      <c r="O43" s="43" t="s">
        <v>154</v>
      </c>
      <c r="P43" s="16"/>
    </row>
    <row r="44" spans="1:16" ht="14.25" customHeight="1" x14ac:dyDescent="0.3">
      <c r="A44" s="13"/>
      <c r="B44" s="14" t="s">
        <v>65</v>
      </c>
      <c r="C44" s="15" t="s">
        <v>30</v>
      </c>
      <c r="D44" s="26">
        <f>1499.7+565.1</f>
        <v>2064.8000000000002</v>
      </c>
      <c r="E44" s="50" t="s">
        <v>52</v>
      </c>
      <c r="F44" s="19">
        <v>0</v>
      </c>
      <c r="G44" s="26">
        <v>140</v>
      </c>
      <c r="H44" s="26">
        <f t="shared" si="5"/>
        <v>140</v>
      </c>
      <c r="I44" s="19">
        <v>0</v>
      </c>
      <c r="J44" s="19">
        <v>0</v>
      </c>
      <c r="K44" s="19">
        <v>0</v>
      </c>
      <c r="L44" s="19">
        <v>0</v>
      </c>
      <c r="M44" s="19">
        <f t="shared" si="6"/>
        <v>0</v>
      </c>
      <c r="N44" s="35"/>
      <c r="O44" s="43" t="s">
        <v>155</v>
      </c>
      <c r="P44" s="16"/>
    </row>
    <row r="45" spans="1:16" ht="14.25" customHeight="1" x14ac:dyDescent="0.3">
      <c r="A45" s="13"/>
      <c r="B45" s="14" t="s">
        <v>66</v>
      </c>
      <c r="C45" s="15" t="s">
        <v>31</v>
      </c>
      <c r="D45" s="26">
        <f>1207+389</f>
        <v>1596</v>
      </c>
      <c r="E45" s="50" t="s">
        <v>52</v>
      </c>
      <c r="F45" s="19">
        <v>0</v>
      </c>
      <c r="G45" s="26">
        <v>150</v>
      </c>
      <c r="H45" s="26">
        <f t="shared" si="5"/>
        <v>150</v>
      </c>
      <c r="I45" s="19">
        <v>0</v>
      </c>
      <c r="J45" s="19">
        <v>0</v>
      </c>
      <c r="K45" s="19">
        <v>0</v>
      </c>
      <c r="L45" s="19">
        <v>0</v>
      </c>
      <c r="M45" s="19">
        <f t="shared" si="6"/>
        <v>0</v>
      </c>
      <c r="N45" s="35"/>
      <c r="O45" s="43" t="s">
        <v>156</v>
      </c>
      <c r="P45" s="16"/>
    </row>
    <row r="46" spans="1:16" ht="14.25" customHeight="1" x14ac:dyDescent="0.3">
      <c r="A46" s="13"/>
      <c r="B46" s="14" t="s">
        <v>67</v>
      </c>
      <c r="C46" s="15" t="s">
        <v>32</v>
      </c>
      <c r="D46" s="26">
        <f>998.9+79.5</f>
        <v>1078.4000000000001</v>
      </c>
      <c r="E46" s="50" t="s">
        <v>52</v>
      </c>
      <c r="F46" s="19">
        <v>0</v>
      </c>
      <c r="G46" s="26">
        <v>99</v>
      </c>
      <c r="H46" s="26">
        <f t="shared" si="5"/>
        <v>99</v>
      </c>
      <c r="I46" s="19">
        <v>0</v>
      </c>
      <c r="J46" s="19">
        <v>0</v>
      </c>
      <c r="K46" s="19">
        <v>0</v>
      </c>
      <c r="L46" s="19">
        <v>0</v>
      </c>
      <c r="M46" s="19">
        <f t="shared" si="6"/>
        <v>0</v>
      </c>
      <c r="N46" s="35"/>
      <c r="O46" s="43" t="s">
        <v>157</v>
      </c>
      <c r="P46" s="16"/>
    </row>
    <row r="47" spans="1:16" ht="14.25" customHeight="1" x14ac:dyDescent="0.3">
      <c r="A47" s="13"/>
      <c r="B47" s="14" t="s">
        <v>68</v>
      </c>
      <c r="C47" s="15" t="s">
        <v>33</v>
      </c>
      <c r="D47" s="26">
        <f>1304+57.5</f>
        <v>1361.5</v>
      </c>
      <c r="E47" s="50" t="s">
        <v>52</v>
      </c>
      <c r="F47" s="19">
        <v>0</v>
      </c>
      <c r="G47" s="26">
        <v>125</v>
      </c>
      <c r="H47" s="26">
        <f t="shared" si="5"/>
        <v>125</v>
      </c>
      <c r="I47" s="19">
        <v>0</v>
      </c>
      <c r="J47" s="19">
        <v>0</v>
      </c>
      <c r="K47" s="19">
        <v>0</v>
      </c>
      <c r="L47" s="19">
        <v>0</v>
      </c>
      <c r="M47" s="19">
        <f t="shared" si="6"/>
        <v>0</v>
      </c>
      <c r="N47" s="35"/>
      <c r="O47" s="43" t="s">
        <v>158</v>
      </c>
      <c r="P47" s="16"/>
    </row>
    <row r="48" spans="1:16" ht="14.25" customHeight="1" x14ac:dyDescent="0.3">
      <c r="A48" s="13"/>
      <c r="B48" s="14" t="s">
        <v>69</v>
      </c>
      <c r="C48" s="15" t="s">
        <v>34</v>
      </c>
      <c r="D48" s="26">
        <f>1784.1+362</f>
        <v>2146.1</v>
      </c>
      <c r="E48" s="50" t="s">
        <v>52</v>
      </c>
      <c r="F48" s="19">
        <v>0</v>
      </c>
      <c r="G48" s="26">
        <v>165</v>
      </c>
      <c r="H48" s="26">
        <f t="shared" si="5"/>
        <v>165</v>
      </c>
      <c r="I48" s="19">
        <v>0</v>
      </c>
      <c r="J48" s="19">
        <v>10</v>
      </c>
      <c r="K48" s="19">
        <v>5</v>
      </c>
      <c r="L48" s="19">
        <v>0</v>
      </c>
      <c r="M48" s="19">
        <f t="shared" si="6"/>
        <v>15</v>
      </c>
      <c r="N48" s="35"/>
      <c r="O48" s="43" t="s">
        <v>159</v>
      </c>
      <c r="P48" s="16"/>
    </row>
    <row r="49" spans="1:16" ht="14.25" customHeight="1" x14ac:dyDescent="0.3">
      <c r="A49" s="13"/>
      <c r="B49" s="14" t="s">
        <v>70</v>
      </c>
      <c r="C49" s="15" t="s">
        <v>35</v>
      </c>
      <c r="D49" s="26">
        <f>1557+181.5</f>
        <v>1738.5</v>
      </c>
      <c r="E49" s="50" t="s">
        <v>52</v>
      </c>
      <c r="F49" s="19">
        <v>0</v>
      </c>
      <c r="G49" s="26">
        <v>150</v>
      </c>
      <c r="H49" s="26">
        <f t="shared" si="5"/>
        <v>150</v>
      </c>
      <c r="I49" s="19">
        <v>0</v>
      </c>
      <c r="J49" s="19">
        <v>0</v>
      </c>
      <c r="K49" s="19">
        <v>0</v>
      </c>
      <c r="L49" s="19">
        <v>0</v>
      </c>
      <c r="M49" s="19">
        <f t="shared" si="6"/>
        <v>0</v>
      </c>
      <c r="N49" s="35"/>
      <c r="O49" s="43" t="s">
        <v>160</v>
      </c>
      <c r="P49" s="16"/>
    </row>
    <row r="50" spans="1:16" ht="14.25" customHeight="1" x14ac:dyDescent="0.3">
      <c r="A50" s="13"/>
      <c r="B50" s="14" t="s">
        <v>71</v>
      </c>
      <c r="C50" s="15" t="s">
        <v>21</v>
      </c>
      <c r="D50" s="26">
        <f>1940+114</f>
        <v>2054</v>
      </c>
      <c r="E50" s="50" t="s">
        <v>52</v>
      </c>
      <c r="F50" s="19">
        <v>0</v>
      </c>
      <c r="G50" s="26">
        <v>160</v>
      </c>
      <c r="H50" s="26">
        <f t="shared" si="5"/>
        <v>160</v>
      </c>
      <c r="I50" s="19">
        <v>0</v>
      </c>
      <c r="J50" s="19">
        <v>0</v>
      </c>
      <c r="K50" s="19">
        <v>0</v>
      </c>
      <c r="L50" s="19">
        <v>0</v>
      </c>
      <c r="M50" s="19">
        <f t="shared" si="6"/>
        <v>0</v>
      </c>
      <c r="N50" s="35"/>
      <c r="O50" s="43" t="s">
        <v>161</v>
      </c>
      <c r="P50" s="16"/>
    </row>
    <row r="51" spans="1:16" ht="14.25" customHeight="1" x14ac:dyDescent="0.3">
      <c r="A51" s="13"/>
      <c r="B51" s="14" t="s">
        <v>72</v>
      </c>
      <c r="C51" s="15" t="s">
        <v>42</v>
      </c>
      <c r="D51" s="26">
        <f>773.1+303.8</f>
        <v>1076.9000000000001</v>
      </c>
      <c r="E51" s="50" t="s">
        <v>52</v>
      </c>
      <c r="F51" s="19">
        <v>0</v>
      </c>
      <c r="G51" s="26">
        <v>70</v>
      </c>
      <c r="H51" s="26">
        <f t="shared" si="5"/>
        <v>70</v>
      </c>
      <c r="I51" s="19">
        <v>0</v>
      </c>
      <c r="J51" s="19">
        <v>0</v>
      </c>
      <c r="K51" s="19">
        <v>0</v>
      </c>
      <c r="L51" s="19">
        <v>0</v>
      </c>
      <c r="M51" s="19">
        <f t="shared" si="6"/>
        <v>0</v>
      </c>
      <c r="N51" s="35"/>
      <c r="O51" s="36"/>
      <c r="P51" s="16"/>
    </row>
    <row r="52" spans="1:16" ht="14.25" customHeight="1" x14ac:dyDescent="0.3">
      <c r="A52" s="13"/>
      <c r="B52" s="14" t="s">
        <v>73</v>
      </c>
      <c r="C52" s="15" t="s">
        <v>105</v>
      </c>
      <c r="D52" s="26">
        <f>153.8+8.7</f>
        <v>162.5</v>
      </c>
      <c r="E52" s="47" t="s">
        <v>45</v>
      </c>
      <c r="F52" s="19">
        <v>0</v>
      </c>
      <c r="G52" s="26">
        <v>55</v>
      </c>
      <c r="H52" s="26">
        <f t="shared" si="5"/>
        <v>55</v>
      </c>
      <c r="I52" s="19">
        <v>0</v>
      </c>
      <c r="J52" s="19">
        <v>0</v>
      </c>
      <c r="K52" s="19">
        <v>0</v>
      </c>
      <c r="L52" s="19">
        <v>0</v>
      </c>
      <c r="M52" s="19">
        <f t="shared" si="6"/>
        <v>0</v>
      </c>
      <c r="N52" s="35"/>
      <c r="O52" s="36"/>
      <c r="P52" s="16"/>
    </row>
    <row r="53" spans="1:16" ht="14.25" customHeight="1" x14ac:dyDescent="0.3">
      <c r="A53" s="13"/>
      <c r="B53" s="14" t="s">
        <v>74</v>
      </c>
      <c r="C53" s="15" t="s">
        <v>110</v>
      </c>
      <c r="D53" s="26">
        <f>695+48.2</f>
        <v>743.2</v>
      </c>
      <c r="E53" s="47"/>
      <c r="F53" s="19"/>
      <c r="G53" s="26"/>
      <c r="H53" s="26"/>
      <c r="I53" s="19"/>
      <c r="J53" s="19"/>
      <c r="K53" s="19"/>
      <c r="L53" s="19"/>
      <c r="M53" s="19"/>
      <c r="N53" s="35"/>
      <c r="O53" s="36"/>
      <c r="P53" s="16"/>
    </row>
    <row r="54" spans="1:16" ht="14.25" customHeight="1" x14ac:dyDescent="0.3">
      <c r="A54" s="13"/>
      <c r="B54" s="14" t="s">
        <v>75</v>
      </c>
      <c r="C54" s="15" t="s">
        <v>112</v>
      </c>
      <c r="D54" s="26">
        <f>375+14</f>
        <v>389</v>
      </c>
      <c r="E54" s="47"/>
      <c r="F54" s="19"/>
      <c r="G54" s="26"/>
      <c r="H54" s="26"/>
      <c r="I54" s="19"/>
      <c r="J54" s="19"/>
      <c r="K54" s="19"/>
      <c r="L54" s="19"/>
      <c r="M54" s="19"/>
      <c r="N54" s="35"/>
      <c r="O54" s="36"/>
      <c r="P54" s="16"/>
    </row>
    <row r="55" spans="1:16" ht="14.25" customHeight="1" x14ac:dyDescent="0.3">
      <c r="A55" s="13"/>
      <c r="B55" s="14" t="s">
        <v>104</v>
      </c>
      <c r="C55" s="15" t="s">
        <v>114</v>
      </c>
      <c r="D55" s="26">
        <f>73.5</f>
        <v>73.5</v>
      </c>
      <c r="E55" s="47"/>
      <c r="F55" s="19"/>
      <c r="G55" s="26"/>
      <c r="H55" s="26"/>
      <c r="I55" s="19"/>
      <c r="J55" s="19"/>
      <c r="K55" s="19"/>
      <c r="L55" s="19"/>
      <c r="M55" s="19"/>
      <c r="N55" s="35"/>
      <c r="O55" s="36"/>
      <c r="P55" s="16"/>
    </row>
    <row r="56" spans="1:16" ht="14.25" customHeight="1" x14ac:dyDescent="0.3">
      <c r="A56" s="13"/>
      <c r="B56" s="14" t="s">
        <v>106</v>
      </c>
      <c r="C56" s="15" t="s">
        <v>22</v>
      </c>
      <c r="D56" s="26">
        <f>1130+101</f>
        <v>1231</v>
      </c>
      <c r="E56" s="50" t="s">
        <v>52</v>
      </c>
      <c r="F56" s="19">
        <v>0</v>
      </c>
      <c r="G56" s="26">
        <v>135</v>
      </c>
      <c r="H56" s="26">
        <f t="shared" si="5"/>
        <v>135</v>
      </c>
      <c r="I56" s="19">
        <v>0</v>
      </c>
      <c r="J56" s="19">
        <v>0</v>
      </c>
      <c r="K56" s="19">
        <v>0</v>
      </c>
      <c r="L56" s="19">
        <v>0</v>
      </c>
      <c r="M56" s="19">
        <f t="shared" si="6"/>
        <v>0</v>
      </c>
      <c r="N56" s="35"/>
      <c r="O56" s="36"/>
      <c r="P56" s="16"/>
    </row>
    <row r="57" spans="1:16" ht="14.25" customHeight="1" x14ac:dyDescent="0.3">
      <c r="A57" s="13"/>
      <c r="B57" s="14" t="s">
        <v>108</v>
      </c>
      <c r="C57" s="15" t="s">
        <v>180</v>
      </c>
      <c r="D57" s="26">
        <f>134.8+5</f>
        <v>139.80000000000001</v>
      </c>
      <c r="E57" s="47" t="s">
        <v>45</v>
      </c>
      <c r="F57" s="19">
        <v>0</v>
      </c>
      <c r="G57" s="26">
        <v>50</v>
      </c>
      <c r="H57" s="26">
        <f t="shared" si="5"/>
        <v>50</v>
      </c>
      <c r="I57" s="19">
        <v>0</v>
      </c>
      <c r="J57" s="19">
        <v>0</v>
      </c>
      <c r="K57" s="19">
        <v>0</v>
      </c>
      <c r="L57" s="19">
        <v>0</v>
      </c>
      <c r="M57" s="19">
        <f t="shared" si="6"/>
        <v>0</v>
      </c>
      <c r="N57" s="35"/>
      <c r="O57" s="36"/>
      <c r="P57" s="16"/>
    </row>
    <row r="58" spans="1:16" ht="14.25" customHeight="1" x14ac:dyDescent="0.3">
      <c r="A58" s="13"/>
      <c r="B58" s="14" t="s">
        <v>109</v>
      </c>
      <c r="C58" s="15" t="s">
        <v>43</v>
      </c>
      <c r="D58" s="26">
        <f>1189+216.6</f>
        <v>1405.6</v>
      </c>
      <c r="E58" s="50" t="s">
        <v>52</v>
      </c>
      <c r="F58" s="19">
        <v>0</v>
      </c>
      <c r="G58" s="26">
        <v>110</v>
      </c>
      <c r="H58" s="26">
        <f t="shared" si="5"/>
        <v>110</v>
      </c>
      <c r="I58" s="19">
        <v>0</v>
      </c>
      <c r="J58" s="19">
        <v>0</v>
      </c>
      <c r="K58" s="19">
        <v>0</v>
      </c>
      <c r="L58" s="19">
        <v>0</v>
      </c>
      <c r="M58" s="19">
        <f t="shared" si="6"/>
        <v>0</v>
      </c>
      <c r="N58" s="35"/>
      <c r="O58" s="36"/>
      <c r="P58" s="16"/>
    </row>
    <row r="59" spans="1:16" ht="14.25" customHeight="1" x14ac:dyDescent="0.3">
      <c r="A59" s="54"/>
      <c r="B59" s="55" t="s">
        <v>111</v>
      </c>
      <c r="C59" s="56" t="s">
        <v>44</v>
      </c>
      <c r="D59" s="57">
        <f>1396.6+127</f>
        <v>1523.6</v>
      </c>
      <c r="E59" s="78" t="s">
        <v>52</v>
      </c>
      <c r="F59" s="79">
        <v>0</v>
      </c>
      <c r="G59" s="57">
        <v>130</v>
      </c>
      <c r="H59" s="57">
        <f t="shared" si="5"/>
        <v>130</v>
      </c>
      <c r="I59" s="79">
        <v>0</v>
      </c>
      <c r="J59" s="79">
        <v>0</v>
      </c>
      <c r="K59" s="79">
        <v>0</v>
      </c>
      <c r="L59" s="79">
        <v>0</v>
      </c>
      <c r="M59" s="79">
        <f t="shared" si="6"/>
        <v>0</v>
      </c>
      <c r="N59" s="80"/>
      <c r="O59" s="81"/>
      <c r="P59" s="87"/>
    </row>
    <row r="60" spans="1:16" ht="14.25" customHeight="1" x14ac:dyDescent="0.3">
      <c r="A60" s="89"/>
      <c r="B60" s="71"/>
      <c r="C60" s="72"/>
      <c r="D60" s="84">
        <f>SUM(D36:D59)</f>
        <v>28602.679999999997</v>
      </c>
      <c r="E60" s="74"/>
      <c r="F60" s="83">
        <f t="shared" ref="F60:M60" si="7">SUM(F36:F59)</f>
        <v>0</v>
      </c>
      <c r="G60" s="83">
        <f t="shared" si="7"/>
        <v>2233.4</v>
      </c>
      <c r="H60" s="83">
        <f t="shared" si="7"/>
        <v>2233.4</v>
      </c>
      <c r="I60" s="83">
        <f t="shared" si="7"/>
        <v>0</v>
      </c>
      <c r="J60" s="83">
        <f t="shared" si="7"/>
        <v>15</v>
      </c>
      <c r="K60" s="83">
        <f t="shared" si="7"/>
        <v>9</v>
      </c>
      <c r="L60" s="83">
        <f t="shared" si="7"/>
        <v>0</v>
      </c>
      <c r="M60" s="83">
        <f t="shared" si="7"/>
        <v>24</v>
      </c>
      <c r="N60" s="76"/>
      <c r="O60" s="77"/>
      <c r="P60" s="75"/>
    </row>
    <row r="61" spans="1:16" ht="14.25" customHeight="1" x14ac:dyDescent="0.3">
      <c r="A61" s="63">
        <v>4</v>
      </c>
      <c r="B61" s="64" t="s">
        <v>46</v>
      </c>
      <c r="C61" s="65"/>
      <c r="D61" s="66"/>
      <c r="E61" s="67"/>
      <c r="F61" s="82"/>
      <c r="G61" s="82"/>
      <c r="H61" s="82"/>
      <c r="I61" s="82"/>
      <c r="J61" s="82"/>
      <c r="K61" s="82"/>
      <c r="L61" s="82"/>
      <c r="M61" s="82"/>
      <c r="N61" s="69"/>
      <c r="O61" s="70"/>
      <c r="P61" s="68"/>
    </row>
    <row r="62" spans="1:16" ht="14.25" customHeight="1" x14ac:dyDescent="0.3">
      <c r="A62" s="13"/>
      <c r="B62" s="14" t="s">
        <v>57</v>
      </c>
      <c r="C62" s="15" t="s">
        <v>29</v>
      </c>
      <c r="D62" s="26">
        <v>175</v>
      </c>
      <c r="E62" s="47" t="s">
        <v>76</v>
      </c>
      <c r="F62" s="26">
        <v>14</v>
      </c>
      <c r="G62" s="19">
        <v>0</v>
      </c>
      <c r="H62" s="26">
        <f>SUM(F62:G62)</f>
        <v>14</v>
      </c>
      <c r="I62" s="19">
        <v>0</v>
      </c>
      <c r="J62" s="19">
        <v>0</v>
      </c>
      <c r="K62" s="19">
        <v>0</v>
      </c>
      <c r="L62" s="19">
        <v>0</v>
      </c>
      <c r="M62" s="19">
        <f>SUM(I62:L62)</f>
        <v>0</v>
      </c>
      <c r="N62" s="35"/>
      <c r="O62" s="36" t="s">
        <v>93</v>
      </c>
      <c r="P62" s="16"/>
    </row>
    <row r="63" spans="1:16" ht="14.25" customHeight="1" x14ac:dyDescent="0.3">
      <c r="A63" s="13"/>
      <c r="B63" s="14" t="s">
        <v>58</v>
      </c>
      <c r="C63" s="15" t="s">
        <v>33</v>
      </c>
      <c r="D63" s="26">
        <v>270</v>
      </c>
      <c r="E63" s="47" t="s">
        <v>53</v>
      </c>
      <c r="F63" s="26">
        <v>13</v>
      </c>
      <c r="G63" s="19">
        <v>0</v>
      </c>
      <c r="H63" s="26">
        <f t="shared" ref="H63:H67" si="8">SUM(F63:G63)</f>
        <v>13</v>
      </c>
      <c r="I63" s="19">
        <v>0</v>
      </c>
      <c r="J63" s="19">
        <v>0</v>
      </c>
      <c r="K63" s="19">
        <v>0</v>
      </c>
      <c r="L63" s="19">
        <v>0</v>
      </c>
      <c r="M63" s="19">
        <f t="shared" ref="M63:M67" si="9">SUM(I63:L63)</f>
        <v>0</v>
      </c>
      <c r="N63" s="35"/>
      <c r="O63" s="36"/>
      <c r="P63" s="16"/>
    </row>
    <row r="64" spans="1:16" ht="14.25" customHeight="1" x14ac:dyDescent="0.3">
      <c r="A64" s="13"/>
      <c r="B64" s="14" t="s">
        <v>59</v>
      </c>
      <c r="C64" s="15" t="s">
        <v>42</v>
      </c>
      <c r="D64" s="26">
        <v>798.93</v>
      </c>
      <c r="E64" s="47"/>
      <c r="F64" s="26">
        <v>74</v>
      </c>
      <c r="G64" s="19">
        <v>0</v>
      </c>
      <c r="H64" s="26">
        <f t="shared" si="8"/>
        <v>74</v>
      </c>
      <c r="I64" s="19">
        <v>0</v>
      </c>
      <c r="J64" s="19">
        <v>5</v>
      </c>
      <c r="K64" s="19">
        <v>0</v>
      </c>
      <c r="L64" s="19">
        <v>0</v>
      </c>
      <c r="M64" s="19">
        <f t="shared" si="9"/>
        <v>5</v>
      </c>
      <c r="N64" s="35"/>
      <c r="O64" s="36"/>
      <c r="P64" s="16"/>
    </row>
    <row r="65" spans="1:16" ht="14.25" customHeight="1" x14ac:dyDescent="0.3">
      <c r="A65" s="13"/>
      <c r="B65" s="14" t="s">
        <v>60</v>
      </c>
      <c r="C65" s="15" t="s">
        <v>21</v>
      </c>
      <c r="D65" s="26">
        <v>1086.55</v>
      </c>
      <c r="E65" s="47"/>
      <c r="F65" s="26">
        <v>95</v>
      </c>
      <c r="G65" s="19">
        <v>0</v>
      </c>
      <c r="H65" s="26">
        <f t="shared" si="8"/>
        <v>95</v>
      </c>
      <c r="I65" s="19">
        <v>0</v>
      </c>
      <c r="J65" s="19">
        <v>5</v>
      </c>
      <c r="K65" s="19">
        <v>0</v>
      </c>
      <c r="L65" s="19">
        <v>0</v>
      </c>
      <c r="M65" s="19">
        <f t="shared" si="9"/>
        <v>5</v>
      </c>
      <c r="N65" s="35"/>
      <c r="O65" s="36"/>
      <c r="P65" s="16"/>
    </row>
    <row r="66" spans="1:16" ht="14.25" customHeight="1" x14ac:dyDescent="0.3">
      <c r="A66" s="16"/>
      <c r="B66" s="14" t="s">
        <v>61</v>
      </c>
      <c r="C66" s="15" t="s">
        <v>22</v>
      </c>
      <c r="D66" s="26">
        <v>1084.55</v>
      </c>
      <c r="E66" s="47"/>
      <c r="F66" s="26">
        <v>96</v>
      </c>
      <c r="G66" s="19">
        <v>0</v>
      </c>
      <c r="H66" s="26">
        <f t="shared" si="8"/>
        <v>96</v>
      </c>
      <c r="I66" s="19">
        <v>0</v>
      </c>
      <c r="J66" s="19">
        <v>5</v>
      </c>
      <c r="K66" s="19">
        <v>0</v>
      </c>
      <c r="L66" s="19">
        <v>0</v>
      </c>
      <c r="M66" s="19">
        <f t="shared" si="9"/>
        <v>5</v>
      </c>
      <c r="N66" s="35"/>
      <c r="O66" s="36"/>
      <c r="P66" s="16"/>
    </row>
    <row r="67" spans="1:16" ht="14.25" customHeight="1" x14ac:dyDescent="0.3">
      <c r="A67" s="87"/>
      <c r="B67" s="55" t="s">
        <v>62</v>
      </c>
      <c r="C67" s="56" t="s">
        <v>43</v>
      </c>
      <c r="D67" s="57">
        <v>33</v>
      </c>
      <c r="E67" s="85"/>
      <c r="F67" s="57">
        <f t="shared" ref="F67" si="10">10/100*D67</f>
        <v>3.3000000000000003</v>
      </c>
      <c r="G67" s="79">
        <v>0</v>
      </c>
      <c r="H67" s="57">
        <f t="shared" si="8"/>
        <v>3.3000000000000003</v>
      </c>
      <c r="I67" s="79">
        <v>0</v>
      </c>
      <c r="J67" s="79">
        <v>0</v>
      </c>
      <c r="K67" s="79">
        <v>0</v>
      </c>
      <c r="L67" s="79">
        <v>0</v>
      </c>
      <c r="M67" s="79">
        <f t="shared" si="9"/>
        <v>0</v>
      </c>
      <c r="N67" s="80"/>
      <c r="O67" s="81"/>
      <c r="P67" s="87"/>
    </row>
    <row r="68" spans="1:16" ht="14.25" customHeight="1" x14ac:dyDescent="0.3">
      <c r="A68" s="75"/>
      <c r="B68" s="71"/>
      <c r="C68" s="72"/>
      <c r="D68" s="73">
        <f>SUM(D62:D67)</f>
        <v>3448.0299999999997</v>
      </c>
      <c r="E68" s="74"/>
      <c r="F68" s="73">
        <f t="shared" ref="F68:K68" si="11">SUM(F62:F67)</f>
        <v>295.3</v>
      </c>
      <c r="G68" s="83">
        <f t="shared" si="11"/>
        <v>0</v>
      </c>
      <c r="H68" s="73">
        <f t="shared" si="11"/>
        <v>295.3</v>
      </c>
      <c r="I68" s="83">
        <f t="shared" si="11"/>
        <v>0</v>
      </c>
      <c r="J68" s="83">
        <f t="shared" si="11"/>
        <v>15</v>
      </c>
      <c r="K68" s="83">
        <f t="shared" si="11"/>
        <v>0</v>
      </c>
      <c r="L68" s="83"/>
      <c r="M68" s="83">
        <f>SUM(M62:M67)</f>
        <v>15</v>
      </c>
      <c r="N68" s="76"/>
      <c r="O68" s="77"/>
      <c r="P68" s="75"/>
    </row>
    <row r="69" spans="1:16" ht="14.25" customHeight="1" x14ac:dyDescent="0.3">
      <c r="A69" s="63">
        <v>5</v>
      </c>
      <c r="B69" s="64" t="s">
        <v>96</v>
      </c>
      <c r="C69" s="65"/>
      <c r="D69" s="66"/>
      <c r="E69" s="67"/>
      <c r="F69" s="66"/>
      <c r="G69" s="82"/>
      <c r="H69" s="66"/>
      <c r="I69" s="82"/>
      <c r="J69" s="82"/>
      <c r="K69" s="82"/>
      <c r="L69" s="82"/>
      <c r="M69" s="82"/>
      <c r="N69" s="69"/>
      <c r="O69" s="70"/>
      <c r="P69" s="68"/>
    </row>
    <row r="70" spans="1:16" ht="14.25" customHeight="1" x14ac:dyDescent="0.3">
      <c r="A70" s="16"/>
      <c r="B70" s="14" t="s">
        <v>57</v>
      </c>
      <c r="C70" s="15" t="s">
        <v>22</v>
      </c>
      <c r="D70" s="26">
        <v>9.5</v>
      </c>
      <c r="E70" s="47" t="s">
        <v>163</v>
      </c>
      <c r="F70" s="26">
        <v>1</v>
      </c>
      <c r="G70" s="19">
        <v>0</v>
      </c>
      <c r="H70" s="26">
        <f>SUM(F70:G70)</f>
        <v>1</v>
      </c>
      <c r="I70" s="19">
        <v>0</v>
      </c>
      <c r="J70" s="19">
        <v>1</v>
      </c>
      <c r="K70" s="19">
        <v>0</v>
      </c>
      <c r="L70" s="19">
        <v>0</v>
      </c>
      <c r="M70" s="19">
        <f>SUM(I70:L70)</f>
        <v>1</v>
      </c>
      <c r="N70" s="35"/>
      <c r="O70" s="36" t="s">
        <v>136</v>
      </c>
      <c r="P70" s="16"/>
    </row>
    <row r="71" spans="1:16" ht="14.25" customHeight="1" x14ac:dyDescent="0.3">
      <c r="A71" s="16"/>
      <c r="B71" s="14" t="s">
        <v>58</v>
      </c>
      <c r="C71" s="15" t="s">
        <v>21</v>
      </c>
      <c r="D71" s="26">
        <v>17.11</v>
      </c>
      <c r="E71" s="47" t="s">
        <v>164</v>
      </c>
      <c r="F71" s="26">
        <v>2.5</v>
      </c>
      <c r="G71" s="19">
        <v>0</v>
      </c>
      <c r="H71" s="26">
        <f t="shared" ref="H71:H77" si="12">SUM(F71:G71)</f>
        <v>2.5</v>
      </c>
      <c r="I71" s="19">
        <v>0</v>
      </c>
      <c r="J71" s="19">
        <v>2</v>
      </c>
      <c r="K71" s="19">
        <v>0</v>
      </c>
      <c r="L71" s="19">
        <v>0</v>
      </c>
      <c r="M71" s="19">
        <f t="shared" ref="M71:M77" si="13">SUM(I71:L71)</f>
        <v>2</v>
      </c>
      <c r="N71" s="35"/>
      <c r="O71" s="36" t="s">
        <v>50</v>
      </c>
      <c r="P71" s="16"/>
    </row>
    <row r="72" spans="1:16" ht="14.25" customHeight="1" x14ac:dyDescent="0.3">
      <c r="A72" s="16"/>
      <c r="B72" s="14" t="s">
        <v>59</v>
      </c>
      <c r="C72" s="15" t="s">
        <v>43</v>
      </c>
      <c r="D72" s="26">
        <v>17.79</v>
      </c>
      <c r="E72" s="47" t="s">
        <v>163</v>
      </c>
      <c r="F72" s="26">
        <v>1</v>
      </c>
      <c r="G72" s="19">
        <v>0</v>
      </c>
      <c r="H72" s="26">
        <f t="shared" si="12"/>
        <v>1</v>
      </c>
      <c r="I72" s="19">
        <v>0</v>
      </c>
      <c r="J72" s="19">
        <v>1</v>
      </c>
      <c r="K72" s="19">
        <v>1</v>
      </c>
      <c r="L72" s="19">
        <v>0</v>
      </c>
      <c r="M72" s="19">
        <f t="shared" si="13"/>
        <v>2</v>
      </c>
      <c r="N72" s="35"/>
      <c r="O72" s="36" t="s">
        <v>137</v>
      </c>
      <c r="P72" s="16"/>
    </row>
    <row r="73" spans="1:16" ht="14.25" customHeight="1" x14ac:dyDescent="0.3">
      <c r="A73" s="16"/>
      <c r="B73" s="14" t="s">
        <v>60</v>
      </c>
      <c r="C73" s="15" t="s">
        <v>44</v>
      </c>
      <c r="D73" s="26">
        <v>30.5</v>
      </c>
      <c r="E73" s="47" t="s">
        <v>164</v>
      </c>
      <c r="F73" s="26">
        <v>2</v>
      </c>
      <c r="G73" s="19">
        <v>0</v>
      </c>
      <c r="H73" s="26">
        <f t="shared" si="12"/>
        <v>2</v>
      </c>
      <c r="I73" s="19">
        <v>0</v>
      </c>
      <c r="J73" s="19">
        <v>0</v>
      </c>
      <c r="K73" s="19">
        <v>0</v>
      </c>
      <c r="L73" s="19">
        <v>0</v>
      </c>
      <c r="M73" s="19">
        <f t="shared" si="13"/>
        <v>0</v>
      </c>
      <c r="N73" s="35"/>
      <c r="O73" s="36" t="s">
        <v>145</v>
      </c>
      <c r="P73" s="16"/>
    </row>
    <row r="74" spans="1:16" ht="14.25" customHeight="1" x14ac:dyDescent="0.3">
      <c r="A74" s="16"/>
      <c r="B74" s="14" t="s">
        <v>61</v>
      </c>
      <c r="C74" s="15" t="s">
        <v>33</v>
      </c>
      <c r="D74" s="26">
        <v>5.2</v>
      </c>
      <c r="E74" s="47" t="s">
        <v>163</v>
      </c>
      <c r="F74" s="26">
        <v>1.5</v>
      </c>
      <c r="G74" s="19">
        <v>0</v>
      </c>
      <c r="H74" s="26">
        <f t="shared" si="12"/>
        <v>1.5</v>
      </c>
      <c r="I74" s="19">
        <v>0</v>
      </c>
      <c r="J74" s="19">
        <v>0</v>
      </c>
      <c r="K74" s="19">
        <v>0</v>
      </c>
      <c r="L74" s="19">
        <v>0</v>
      </c>
      <c r="M74" s="19">
        <f t="shared" si="13"/>
        <v>0</v>
      </c>
      <c r="N74" s="35"/>
      <c r="O74" s="36" t="s">
        <v>146</v>
      </c>
      <c r="P74" s="16"/>
    </row>
    <row r="75" spans="1:16" ht="14.25" customHeight="1" x14ac:dyDescent="0.3">
      <c r="A75" s="16"/>
      <c r="B75" s="14" t="s">
        <v>62</v>
      </c>
      <c r="C75" s="15" t="s">
        <v>32</v>
      </c>
      <c r="D75" s="26">
        <v>0.25</v>
      </c>
      <c r="E75" s="47" t="s">
        <v>129</v>
      </c>
      <c r="F75" s="26">
        <v>0.1</v>
      </c>
      <c r="G75" s="19">
        <v>0</v>
      </c>
      <c r="H75" s="26">
        <f t="shared" si="12"/>
        <v>0.1</v>
      </c>
      <c r="I75" s="19">
        <v>0</v>
      </c>
      <c r="J75" s="19">
        <v>0</v>
      </c>
      <c r="K75" s="19">
        <v>0</v>
      </c>
      <c r="L75" s="19">
        <v>0</v>
      </c>
      <c r="M75" s="19">
        <f t="shared" si="13"/>
        <v>0</v>
      </c>
      <c r="N75" s="35"/>
      <c r="O75" s="36"/>
      <c r="P75" s="16"/>
    </row>
    <row r="76" spans="1:16" ht="14.25" customHeight="1" x14ac:dyDescent="0.3">
      <c r="A76" s="16"/>
      <c r="B76" s="14">
        <v>9</v>
      </c>
      <c r="C76" s="15" t="s">
        <v>30</v>
      </c>
      <c r="D76" s="26">
        <v>9.5</v>
      </c>
      <c r="E76" s="47" t="s">
        <v>129</v>
      </c>
      <c r="F76" s="26">
        <v>2</v>
      </c>
      <c r="G76" s="19">
        <v>0</v>
      </c>
      <c r="H76" s="26">
        <f t="shared" si="12"/>
        <v>2</v>
      </c>
      <c r="I76" s="19">
        <v>0</v>
      </c>
      <c r="J76" s="19">
        <v>0</v>
      </c>
      <c r="K76" s="19">
        <v>0</v>
      </c>
      <c r="L76" s="19">
        <v>0</v>
      </c>
      <c r="M76" s="19">
        <f t="shared" si="13"/>
        <v>0</v>
      </c>
      <c r="N76" s="35"/>
      <c r="O76" s="36"/>
      <c r="P76" s="16"/>
    </row>
    <row r="77" spans="1:16" ht="14.25" customHeight="1" x14ac:dyDescent="0.3">
      <c r="A77" s="87"/>
      <c r="B77" s="55" t="s">
        <v>64</v>
      </c>
      <c r="C77" s="56" t="s">
        <v>31</v>
      </c>
      <c r="D77" s="57">
        <v>4</v>
      </c>
      <c r="E77" s="85" t="s">
        <v>135</v>
      </c>
      <c r="F77" s="57">
        <v>0.1</v>
      </c>
      <c r="G77" s="79">
        <v>0</v>
      </c>
      <c r="H77" s="57">
        <f t="shared" si="12"/>
        <v>0.1</v>
      </c>
      <c r="I77" s="79">
        <v>0</v>
      </c>
      <c r="J77" s="79">
        <v>0</v>
      </c>
      <c r="K77" s="79">
        <v>0</v>
      </c>
      <c r="L77" s="79">
        <v>0</v>
      </c>
      <c r="M77" s="79">
        <f t="shared" si="13"/>
        <v>0</v>
      </c>
      <c r="N77" s="80"/>
      <c r="O77" s="81"/>
      <c r="P77" s="87"/>
    </row>
    <row r="78" spans="1:16" ht="14.25" customHeight="1" x14ac:dyDescent="0.3">
      <c r="A78" s="75"/>
      <c r="B78" s="71"/>
      <c r="C78" s="72"/>
      <c r="D78" s="73">
        <f>SUM(D70:D77)</f>
        <v>93.850000000000009</v>
      </c>
      <c r="E78" s="74"/>
      <c r="F78" s="73">
        <f t="shared" ref="F78:K78" si="14">SUM(F70:F77)</f>
        <v>10.199999999999999</v>
      </c>
      <c r="G78" s="83">
        <f t="shared" si="14"/>
        <v>0</v>
      </c>
      <c r="H78" s="73">
        <f t="shared" si="14"/>
        <v>10.199999999999999</v>
      </c>
      <c r="I78" s="83">
        <f t="shared" si="14"/>
        <v>0</v>
      </c>
      <c r="J78" s="83">
        <f t="shared" si="14"/>
        <v>4</v>
      </c>
      <c r="K78" s="83">
        <f t="shared" si="14"/>
        <v>1</v>
      </c>
      <c r="L78" s="83">
        <f t="shared" ref="L78" si="15">SUM(L56:L63)</f>
        <v>0</v>
      </c>
      <c r="M78" s="83">
        <f>SUM(M70:M77)</f>
        <v>5</v>
      </c>
      <c r="N78" s="76"/>
      <c r="O78" s="77"/>
      <c r="P78" s="75"/>
    </row>
    <row r="79" spans="1:16" ht="14.25" customHeight="1" x14ac:dyDescent="0.3">
      <c r="A79" s="94">
        <v>6</v>
      </c>
      <c r="B79" s="8" t="s">
        <v>116</v>
      </c>
      <c r="C79" s="10"/>
      <c r="D79" s="90"/>
      <c r="E79" s="91"/>
      <c r="F79" s="90"/>
      <c r="G79" s="92"/>
      <c r="H79" s="90"/>
      <c r="I79" s="92"/>
      <c r="J79" s="92"/>
      <c r="K79" s="92"/>
      <c r="L79" s="92"/>
      <c r="M79" s="92"/>
      <c r="N79" s="93"/>
      <c r="O79" s="51"/>
      <c r="P79" s="5"/>
    </row>
    <row r="80" spans="1:16" ht="14.25" customHeight="1" x14ac:dyDescent="0.3">
      <c r="A80" s="5"/>
      <c r="B80" s="8" t="s">
        <v>57</v>
      </c>
      <c r="C80" s="10" t="s">
        <v>30</v>
      </c>
      <c r="D80" s="90">
        <v>24.5</v>
      </c>
      <c r="E80" s="91"/>
      <c r="F80" s="90"/>
      <c r="G80" s="92"/>
      <c r="H80" s="90"/>
      <c r="I80" s="92"/>
      <c r="J80" s="92"/>
      <c r="K80" s="92"/>
      <c r="L80" s="92"/>
      <c r="M80" s="92"/>
      <c r="N80" s="93"/>
      <c r="O80" s="51"/>
      <c r="P80" s="5"/>
    </row>
    <row r="81" spans="1:16" ht="14.25" customHeight="1" x14ac:dyDescent="0.3">
      <c r="A81" s="5"/>
      <c r="B81" s="8" t="s">
        <v>58</v>
      </c>
      <c r="C81" s="10" t="s">
        <v>44</v>
      </c>
      <c r="D81" s="90">
        <v>72.03</v>
      </c>
      <c r="E81" s="91"/>
      <c r="F81" s="90"/>
      <c r="G81" s="92"/>
      <c r="H81" s="90"/>
      <c r="I81" s="92"/>
      <c r="J81" s="92"/>
      <c r="K81" s="92"/>
      <c r="L81" s="92"/>
      <c r="M81" s="92"/>
      <c r="N81" s="93"/>
      <c r="O81" s="51"/>
      <c r="P81" s="5"/>
    </row>
    <row r="82" spans="1:16" ht="14.25" customHeight="1" x14ac:dyDescent="0.3">
      <c r="A82" s="5"/>
      <c r="B82" s="8" t="s">
        <v>59</v>
      </c>
      <c r="C82" s="10" t="s">
        <v>33</v>
      </c>
      <c r="D82" s="90">
        <v>14.2</v>
      </c>
      <c r="E82" s="91"/>
      <c r="F82" s="90"/>
      <c r="G82" s="92"/>
      <c r="H82" s="90"/>
      <c r="I82" s="92"/>
      <c r="J82" s="92"/>
      <c r="K82" s="92"/>
      <c r="L82" s="92"/>
      <c r="M82" s="92"/>
      <c r="N82" s="93"/>
      <c r="O82" s="51"/>
      <c r="P82" s="5"/>
    </row>
    <row r="83" spans="1:16" ht="14.25" customHeight="1" x14ac:dyDescent="0.3">
      <c r="A83" s="5"/>
      <c r="B83" s="8" t="s">
        <v>60</v>
      </c>
      <c r="C83" s="10" t="s">
        <v>34</v>
      </c>
      <c r="D83" s="90">
        <v>2.7</v>
      </c>
      <c r="E83" s="91"/>
      <c r="F83" s="90"/>
      <c r="G83" s="92"/>
      <c r="H83" s="90"/>
      <c r="I83" s="92"/>
      <c r="J83" s="92"/>
      <c r="K83" s="92"/>
      <c r="L83" s="92"/>
      <c r="M83" s="92"/>
      <c r="N83" s="93"/>
      <c r="O83" s="51"/>
      <c r="P83" s="5"/>
    </row>
    <row r="84" spans="1:16" ht="14.25" customHeight="1" x14ac:dyDescent="0.3">
      <c r="A84" s="5"/>
      <c r="B84" s="8" t="s">
        <v>61</v>
      </c>
      <c r="C84" s="10" t="s">
        <v>35</v>
      </c>
      <c r="D84" s="90">
        <v>35.72</v>
      </c>
      <c r="E84" s="91"/>
      <c r="F84" s="90"/>
      <c r="G84" s="92"/>
      <c r="H84" s="90"/>
      <c r="I84" s="92"/>
      <c r="J84" s="92"/>
      <c r="K84" s="92"/>
      <c r="L84" s="92"/>
      <c r="M84" s="92"/>
      <c r="N84" s="93"/>
      <c r="O84" s="51"/>
      <c r="P84" s="5"/>
    </row>
    <row r="85" spans="1:16" ht="14.25" customHeight="1" x14ac:dyDescent="0.3">
      <c r="A85" s="5"/>
      <c r="B85" s="8" t="s">
        <v>62</v>
      </c>
      <c r="C85" s="10" t="s">
        <v>32</v>
      </c>
      <c r="D85" s="90">
        <v>6.75</v>
      </c>
      <c r="E85" s="91"/>
      <c r="F85" s="90"/>
      <c r="G85" s="92"/>
      <c r="H85" s="90"/>
      <c r="I85" s="92"/>
      <c r="J85" s="92"/>
      <c r="K85" s="92"/>
      <c r="L85" s="92"/>
      <c r="M85" s="92"/>
      <c r="N85" s="93"/>
      <c r="O85" s="51"/>
      <c r="P85" s="5"/>
    </row>
    <row r="86" spans="1:16" ht="14.25" customHeight="1" x14ac:dyDescent="0.3">
      <c r="A86" s="5"/>
      <c r="B86" s="8"/>
      <c r="C86" s="10"/>
      <c r="D86" s="90"/>
      <c r="E86" s="91"/>
      <c r="F86" s="90"/>
      <c r="G86" s="92"/>
      <c r="H86" s="90"/>
      <c r="I86" s="92"/>
      <c r="J86" s="92"/>
      <c r="K86" s="92"/>
      <c r="L86" s="92"/>
      <c r="M86" s="92"/>
      <c r="N86" s="93"/>
      <c r="O86" s="51"/>
      <c r="P86" s="5"/>
    </row>
    <row r="87" spans="1:16" ht="14.25" customHeight="1" x14ac:dyDescent="0.3">
      <c r="A87" s="5">
        <v>7</v>
      </c>
      <c r="B87" s="8" t="s">
        <v>117</v>
      </c>
      <c r="C87" s="10"/>
      <c r="D87" s="90"/>
      <c r="E87" s="91"/>
      <c r="F87" s="90"/>
      <c r="G87" s="92"/>
      <c r="H87" s="90"/>
      <c r="I87" s="92"/>
      <c r="J87" s="92"/>
      <c r="K87" s="92"/>
      <c r="L87" s="92"/>
      <c r="M87" s="92"/>
      <c r="N87" s="93"/>
      <c r="O87" s="51"/>
      <c r="P87" s="5"/>
    </row>
    <row r="88" spans="1:16" ht="14.25" customHeight="1" x14ac:dyDescent="0.3">
      <c r="A88" s="5"/>
      <c r="B88" s="8" t="s">
        <v>57</v>
      </c>
      <c r="C88" s="10" t="s">
        <v>22</v>
      </c>
      <c r="D88" s="90">
        <v>296.95</v>
      </c>
      <c r="E88" s="91"/>
      <c r="F88" s="90"/>
      <c r="G88" s="92"/>
      <c r="H88" s="90"/>
      <c r="I88" s="92"/>
      <c r="J88" s="92"/>
      <c r="K88" s="92"/>
      <c r="L88" s="92"/>
      <c r="M88" s="92"/>
      <c r="N88" s="93"/>
      <c r="O88" s="51"/>
      <c r="P88" s="5"/>
    </row>
    <row r="89" spans="1:16" ht="14.25" customHeight="1" x14ac:dyDescent="0.3">
      <c r="A89" s="5"/>
      <c r="B89" s="8" t="s">
        <v>58</v>
      </c>
      <c r="C89" s="10" t="s">
        <v>42</v>
      </c>
      <c r="D89" s="90">
        <v>190.5</v>
      </c>
      <c r="E89" s="91"/>
      <c r="F89" s="90"/>
      <c r="G89" s="92"/>
      <c r="H89" s="90"/>
      <c r="I89" s="92"/>
      <c r="J89" s="92"/>
      <c r="K89" s="92"/>
      <c r="L89" s="92"/>
      <c r="M89" s="92"/>
      <c r="N89" s="93"/>
      <c r="O89" s="51"/>
      <c r="P89" s="5"/>
    </row>
    <row r="90" spans="1:16" ht="14.25" customHeight="1" x14ac:dyDescent="0.3">
      <c r="A90" s="5"/>
      <c r="B90" s="8" t="s">
        <v>59</v>
      </c>
      <c r="C90" s="10" t="s">
        <v>21</v>
      </c>
      <c r="D90" s="125" t="s">
        <v>201</v>
      </c>
      <c r="E90" s="91"/>
      <c r="F90" s="90"/>
      <c r="G90" s="92"/>
      <c r="H90" s="90"/>
      <c r="I90" s="92"/>
      <c r="J90" s="92"/>
      <c r="K90" s="92"/>
      <c r="L90" s="92"/>
      <c r="M90" s="92"/>
      <c r="N90" s="93"/>
      <c r="O90" s="51"/>
      <c r="P90" s="5"/>
    </row>
    <row r="91" spans="1:16" ht="14.25" customHeight="1" x14ac:dyDescent="0.3">
      <c r="A91" s="5"/>
      <c r="B91" s="8" t="s">
        <v>60</v>
      </c>
      <c r="C91" s="10" t="s">
        <v>43</v>
      </c>
      <c r="D91" s="90">
        <v>244.8</v>
      </c>
      <c r="E91" s="91"/>
      <c r="F91" s="90"/>
      <c r="G91" s="92"/>
      <c r="H91" s="90"/>
      <c r="I91" s="92"/>
      <c r="J91" s="92"/>
      <c r="K91" s="92"/>
      <c r="L91" s="92"/>
      <c r="M91" s="92"/>
      <c r="N91" s="93"/>
      <c r="O91" s="51"/>
      <c r="P91" s="5"/>
    </row>
    <row r="92" spans="1:16" ht="14.25" customHeight="1" x14ac:dyDescent="0.3">
      <c r="A92" s="5"/>
      <c r="B92" s="8" t="s">
        <v>61</v>
      </c>
      <c r="C92" s="10" t="s">
        <v>44</v>
      </c>
      <c r="D92" s="90">
        <v>57.95</v>
      </c>
      <c r="E92" s="91"/>
      <c r="F92" s="90"/>
      <c r="G92" s="92"/>
      <c r="H92" s="90"/>
      <c r="I92" s="92"/>
      <c r="J92" s="92"/>
      <c r="K92" s="92"/>
      <c r="L92" s="92"/>
      <c r="M92" s="92"/>
      <c r="N92" s="93"/>
      <c r="O92" s="51"/>
      <c r="P92" s="5"/>
    </row>
    <row r="93" spans="1:16" ht="14.25" customHeight="1" x14ac:dyDescent="0.3">
      <c r="A93" s="5"/>
      <c r="B93" s="8" t="s">
        <v>62</v>
      </c>
      <c r="C93" s="10" t="s">
        <v>202</v>
      </c>
      <c r="D93" s="90">
        <v>2.5</v>
      </c>
      <c r="E93" s="91"/>
      <c r="F93" s="90"/>
      <c r="G93" s="92"/>
      <c r="H93" s="90"/>
      <c r="I93" s="92"/>
      <c r="J93" s="92"/>
      <c r="K93" s="92"/>
      <c r="L93" s="92"/>
      <c r="M93" s="92"/>
      <c r="N93" s="93"/>
      <c r="O93" s="51"/>
      <c r="P93" s="5"/>
    </row>
    <row r="94" spans="1:16" ht="14.25" customHeight="1" x14ac:dyDescent="0.3">
      <c r="A94" s="5"/>
      <c r="B94" s="8"/>
      <c r="C94" s="10"/>
      <c r="D94" s="90"/>
      <c r="E94" s="91"/>
      <c r="F94" s="90"/>
      <c r="G94" s="92"/>
      <c r="H94" s="90"/>
      <c r="I94" s="92"/>
      <c r="J94" s="92"/>
      <c r="K94" s="92"/>
      <c r="L94" s="92"/>
      <c r="M94" s="92"/>
      <c r="N94" s="93"/>
      <c r="O94" s="51"/>
      <c r="P94" s="5"/>
    </row>
    <row r="95" spans="1:16" ht="14.25" customHeight="1" x14ac:dyDescent="0.3">
      <c r="A95" s="5"/>
      <c r="B95" s="8"/>
      <c r="C95" s="10"/>
      <c r="D95" s="90"/>
      <c r="E95" s="91"/>
      <c r="F95" s="90"/>
      <c r="G95" s="92"/>
      <c r="H95" s="90"/>
      <c r="I95" s="92"/>
      <c r="J95" s="92"/>
      <c r="K95" s="92"/>
      <c r="L95" s="92"/>
      <c r="M95" s="92"/>
      <c r="N95" s="93"/>
      <c r="O95" s="51"/>
      <c r="P95" s="5"/>
    </row>
    <row r="96" spans="1:16" ht="14.25" customHeight="1" x14ac:dyDescent="0.3">
      <c r="A96" s="5"/>
      <c r="B96" s="8"/>
      <c r="C96" s="10"/>
      <c r="D96" s="90"/>
      <c r="E96" s="91"/>
      <c r="F96" s="90"/>
      <c r="G96" s="92"/>
      <c r="H96" s="90"/>
      <c r="I96" s="92"/>
      <c r="J96" s="92"/>
      <c r="K96" s="92"/>
      <c r="L96" s="92"/>
      <c r="M96" s="92"/>
      <c r="N96" s="93"/>
      <c r="O96" s="51"/>
      <c r="P96" s="5"/>
    </row>
    <row r="97" spans="1:16" ht="14.25" customHeight="1" x14ac:dyDescent="0.3">
      <c r="A97" s="5"/>
      <c r="B97" s="8"/>
      <c r="C97" s="10"/>
      <c r="D97" s="90"/>
      <c r="E97" s="91"/>
      <c r="F97" s="90"/>
      <c r="G97" s="92"/>
      <c r="H97" s="90"/>
      <c r="I97" s="92"/>
      <c r="J97" s="92"/>
      <c r="K97" s="92"/>
      <c r="L97" s="92"/>
      <c r="M97" s="92"/>
      <c r="N97" s="93"/>
      <c r="O97" s="51"/>
      <c r="P97" s="5"/>
    </row>
    <row r="98" spans="1:16" ht="14.25" customHeight="1" x14ac:dyDescent="0.3">
      <c r="A98" s="5"/>
      <c r="B98" s="8"/>
      <c r="C98" s="10"/>
      <c r="D98" s="90"/>
      <c r="E98" s="91"/>
      <c r="F98" s="90"/>
      <c r="G98" s="92"/>
      <c r="H98" s="90"/>
      <c r="I98" s="92"/>
      <c r="J98" s="92"/>
      <c r="K98" s="92"/>
      <c r="L98" s="92"/>
      <c r="M98" s="92"/>
      <c r="N98" s="93"/>
      <c r="O98" s="51"/>
      <c r="P98" s="5"/>
    </row>
    <row r="99" spans="1:16" ht="14.25" customHeight="1" x14ac:dyDescent="0.3">
      <c r="A99" s="75"/>
      <c r="B99" s="71"/>
      <c r="C99" s="72"/>
      <c r="D99" s="73">
        <f>SUM(D80:D98)</f>
        <v>948.60000000000014</v>
      </c>
      <c r="E99" s="74"/>
      <c r="F99" s="73"/>
      <c r="G99" s="83"/>
      <c r="H99" s="73"/>
      <c r="I99" s="83"/>
      <c r="J99" s="83"/>
      <c r="K99" s="83"/>
      <c r="L99" s="83"/>
      <c r="M99" s="83"/>
      <c r="N99" s="76"/>
      <c r="O99" s="77"/>
      <c r="P99" s="75"/>
    </row>
    <row r="100" spans="1:16" ht="8.25" customHeight="1" x14ac:dyDescent="0.3">
      <c r="A100" s="6"/>
      <c r="B100" s="9"/>
      <c r="C100" s="11"/>
      <c r="D100" s="6"/>
      <c r="E100" s="52"/>
      <c r="F100" s="7"/>
      <c r="G100" s="7"/>
      <c r="H100" s="7"/>
      <c r="I100" s="7"/>
      <c r="J100" s="7"/>
      <c r="K100" s="7"/>
      <c r="L100" s="7"/>
      <c r="M100" s="7"/>
      <c r="N100" s="9"/>
      <c r="O100" s="11"/>
      <c r="P100" s="6"/>
    </row>
    <row r="101" spans="1:16" x14ac:dyDescent="0.3">
      <c r="F101" s="2"/>
      <c r="G101" s="2"/>
      <c r="H101" s="2"/>
      <c r="I101" s="2"/>
      <c r="J101" s="2"/>
      <c r="K101" s="2"/>
      <c r="L101" s="2"/>
      <c r="M101" s="2"/>
    </row>
    <row r="102" spans="1:16" x14ac:dyDescent="0.3">
      <c r="F102" s="2"/>
      <c r="G102" s="2"/>
      <c r="H102" s="2"/>
      <c r="I102" s="2"/>
      <c r="J102" s="2" t="s">
        <v>172</v>
      </c>
      <c r="K102" s="2"/>
      <c r="L102" s="2"/>
      <c r="M102" s="2"/>
    </row>
    <row r="103" spans="1:16" x14ac:dyDescent="0.3">
      <c r="A103" s="395" t="s">
        <v>80</v>
      </c>
      <c r="B103" s="395"/>
      <c r="C103" s="395"/>
      <c r="D103" s="395"/>
    </row>
    <row r="104" spans="1:16" x14ac:dyDescent="0.3">
      <c r="A104" s="395" t="s">
        <v>81</v>
      </c>
      <c r="B104" s="395"/>
      <c r="C104" s="395"/>
      <c r="D104" s="395"/>
      <c r="J104" s="1" t="s">
        <v>85</v>
      </c>
    </row>
    <row r="105" spans="1:16" x14ac:dyDescent="0.3">
      <c r="A105" s="395" t="s">
        <v>82</v>
      </c>
      <c r="B105" s="395"/>
      <c r="C105" s="395"/>
      <c r="D105" s="395"/>
      <c r="J105" s="3" t="s">
        <v>86</v>
      </c>
      <c r="K105" s="1" t="s">
        <v>87</v>
      </c>
      <c r="O105" s="1" t="s">
        <v>90</v>
      </c>
    </row>
    <row r="106" spans="1:16" x14ac:dyDescent="0.3">
      <c r="A106" s="395" t="s">
        <v>83</v>
      </c>
      <c r="B106" s="395"/>
      <c r="C106" s="395"/>
      <c r="D106" s="395"/>
      <c r="K106" s="1" t="s">
        <v>91</v>
      </c>
    </row>
    <row r="107" spans="1:16" ht="13.5" customHeight="1" x14ac:dyDescent="0.3"/>
    <row r="108" spans="1:16" ht="13.5" customHeight="1" x14ac:dyDescent="0.3"/>
    <row r="109" spans="1:16" ht="13.5" customHeight="1" x14ac:dyDescent="0.3"/>
    <row r="110" spans="1:16" x14ac:dyDescent="0.3">
      <c r="A110" s="398" t="s">
        <v>84</v>
      </c>
      <c r="B110" s="398"/>
      <c r="C110" s="398"/>
      <c r="D110" s="398"/>
      <c r="J110" s="3" t="s">
        <v>88</v>
      </c>
      <c r="K110" s="1" t="s">
        <v>89</v>
      </c>
      <c r="O110" s="1" t="s">
        <v>90</v>
      </c>
    </row>
    <row r="111" spans="1:16" x14ac:dyDescent="0.3">
      <c r="A111" s="395" t="s">
        <v>169</v>
      </c>
      <c r="B111" s="395"/>
      <c r="C111" s="395"/>
      <c r="D111" s="395"/>
      <c r="K111" s="1" t="s">
        <v>92</v>
      </c>
    </row>
  </sheetData>
  <mergeCells count="17">
    <mergeCell ref="O24:O33"/>
    <mergeCell ref="A1:P1"/>
    <mergeCell ref="A6:A7"/>
    <mergeCell ref="B6:C6"/>
    <mergeCell ref="D6:D7"/>
    <mergeCell ref="E6:E7"/>
    <mergeCell ref="F6:H6"/>
    <mergeCell ref="I6:M6"/>
    <mergeCell ref="N6:O7"/>
    <mergeCell ref="P6:P7"/>
    <mergeCell ref="B7:C7"/>
    <mergeCell ref="A111:D111"/>
    <mergeCell ref="A103:D103"/>
    <mergeCell ref="A104:D104"/>
    <mergeCell ref="A105:D105"/>
    <mergeCell ref="A106:D106"/>
    <mergeCell ref="A110:D110"/>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P93"/>
  <sheetViews>
    <sheetView topLeftCell="A79" workbookViewId="0">
      <selection activeCell="K27" sqref="K27"/>
    </sheetView>
  </sheetViews>
  <sheetFormatPr defaultColWidth="9.1796875" defaultRowHeight="14" x14ac:dyDescent="0.3"/>
  <cols>
    <col min="1" max="1" width="9" style="1" customWidth="1"/>
    <col min="2" max="2" width="2.1796875" style="1" customWidth="1"/>
    <col min="3" max="3" width="17.7265625" style="1" customWidth="1"/>
    <col min="4" max="4" width="11.54296875" style="1" customWidth="1"/>
    <col min="5" max="5" width="23.1796875" style="1" customWidth="1"/>
    <col min="6" max="6" width="8.453125" style="1" customWidth="1"/>
    <col min="7" max="7" width="8.81640625" style="1" customWidth="1"/>
    <col min="8" max="8" width="9" style="1" customWidth="1"/>
    <col min="9" max="9" width="6.453125" style="1" bestFit="1" customWidth="1"/>
    <col min="10" max="10" width="6.81640625" style="1" bestFit="1" customWidth="1"/>
    <col min="11" max="11" width="10" style="1" bestFit="1" customWidth="1"/>
    <col min="12" max="12" width="5.54296875" style="1" bestFit="1" customWidth="1"/>
    <col min="13" max="13" width="6.81640625" style="1" bestFit="1" customWidth="1"/>
    <col min="14" max="14" width="2.1796875" style="1" customWidth="1"/>
    <col min="15" max="15" width="28.81640625" style="1" customWidth="1"/>
    <col min="16" max="16" width="10.453125" style="1" customWidth="1"/>
    <col min="17" max="16384" width="9.1796875" style="1"/>
  </cols>
  <sheetData>
    <row r="1" spans="1:16" x14ac:dyDescent="0.3">
      <c r="A1" s="385" t="s">
        <v>177</v>
      </c>
      <c r="B1" s="385"/>
      <c r="C1" s="385"/>
      <c r="D1" s="385"/>
      <c r="E1" s="385"/>
      <c r="F1" s="385"/>
      <c r="G1" s="385"/>
      <c r="H1" s="385"/>
      <c r="I1" s="385"/>
      <c r="J1" s="385"/>
      <c r="K1" s="385"/>
      <c r="L1" s="385"/>
      <c r="M1" s="385"/>
      <c r="N1" s="385"/>
      <c r="O1" s="385"/>
      <c r="P1" s="385"/>
    </row>
    <row r="2" spans="1:16" ht="14.25" customHeight="1" x14ac:dyDescent="0.3"/>
    <row r="3" spans="1:16" ht="14.25" customHeight="1" x14ac:dyDescent="0.3">
      <c r="A3" s="1" t="s">
        <v>1</v>
      </c>
      <c r="B3" s="1" t="s">
        <v>78</v>
      </c>
      <c r="C3" s="1" t="s">
        <v>77</v>
      </c>
    </row>
    <row r="4" spans="1:16" ht="14.25" customHeight="1" x14ac:dyDescent="0.3">
      <c r="A4" s="1" t="s">
        <v>2</v>
      </c>
      <c r="B4" s="1" t="s">
        <v>78</v>
      </c>
      <c r="C4" s="4" t="s">
        <v>171</v>
      </c>
    </row>
    <row r="6" spans="1:16" x14ac:dyDescent="0.3">
      <c r="A6" s="386" t="s">
        <v>3</v>
      </c>
      <c r="B6" s="388" t="s">
        <v>4</v>
      </c>
      <c r="C6" s="388"/>
      <c r="D6" s="389" t="s">
        <v>6</v>
      </c>
      <c r="E6" s="391" t="s">
        <v>7</v>
      </c>
      <c r="F6" s="393" t="s">
        <v>170</v>
      </c>
      <c r="G6" s="393"/>
      <c r="H6" s="393"/>
      <c r="I6" s="393" t="s">
        <v>12</v>
      </c>
      <c r="J6" s="393"/>
      <c r="K6" s="393"/>
      <c r="L6" s="393"/>
      <c r="M6" s="393"/>
      <c r="N6" s="391" t="s">
        <v>17</v>
      </c>
      <c r="O6" s="391"/>
      <c r="P6" s="386" t="s">
        <v>192</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ht="14.25" customHeight="1" x14ac:dyDescent="0.3">
      <c r="A9" s="13">
        <v>1</v>
      </c>
      <c r="B9" s="14" t="s">
        <v>20</v>
      </c>
      <c r="C9" s="15"/>
      <c r="D9" s="16"/>
      <c r="E9" s="47"/>
      <c r="F9" s="16"/>
      <c r="G9" s="16"/>
      <c r="H9" s="16"/>
      <c r="I9" s="16"/>
      <c r="J9" s="16"/>
      <c r="K9" s="16"/>
      <c r="L9" s="16"/>
      <c r="M9" s="16"/>
      <c r="N9" s="35"/>
      <c r="O9" s="36"/>
      <c r="P9" s="16"/>
    </row>
    <row r="10" spans="1:16" ht="14.25" customHeight="1" x14ac:dyDescent="0.3">
      <c r="A10" s="13"/>
      <c r="B10" s="17" t="s">
        <v>57</v>
      </c>
      <c r="C10" s="15" t="s">
        <v>21</v>
      </c>
      <c r="D10" s="18">
        <v>403.56</v>
      </c>
      <c r="E10" s="47" t="s">
        <v>36</v>
      </c>
      <c r="F10" s="19">
        <f>5%*D10</f>
        <v>20.178000000000001</v>
      </c>
      <c r="G10" s="19">
        <f>5%*D10</f>
        <v>20.178000000000001</v>
      </c>
      <c r="H10" s="19">
        <f>SUM(F10:G10)</f>
        <v>40.356000000000002</v>
      </c>
      <c r="I10" s="19">
        <v>0</v>
      </c>
      <c r="J10" s="19"/>
      <c r="K10" s="19">
        <v>10</v>
      </c>
      <c r="L10" s="19"/>
      <c r="M10" s="20">
        <f>SUM(I10:L10)</f>
        <v>10</v>
      </c>
      <c r="N10" s="37"/>
      <c r="O10" s="36"/>
      <c r="P10" s="16"/>
    </row>
    <row r="11" spans="1:16" ht="14.25" customHeight="1" x14ac:dyDescent="0.3">
      <c r="A11" s="13"/>
      <c r="B11" s="14"/>
      <c r="C11" s="15"/>
      <c r="D11" s="18"/>
      <c r="E11" s="47" t="s">
        <v>37</v>
      </c>
      <c r="F11" s="19">
        <v>10</v>
      </c>
      <c r="G11" s="19">
        <f>5%*D11</f>
        <v>0</v>
      </c>
      <c r="H11" s="19">
        <f>SUM(F11:G11)</f>
        <v>10</v>
      </c>
      <c r="I11" s="19">
        <v>0</v>
      </c>
      <c r="J11" s="19">
        <v>0</v>
      </c>
      <c r="K11" s="19">
        <v>5</v>
      </c>
      <c r="L11" s="19">
        <v>0</v>
      </c>
      <c r="M11" s="20">
        <f t="shared" ref="M11:M17" si="0">SUM(I11:L11)</f>
        <v>5</v>
      </c>
      <c r="N11" s="37" t="s">
        <v>51</v>
      </c>
      <c r="O11" s="38" t="s">
        <v>50</v>
      </c>
      <c r="P11" s="16"/>
    </row>
    <row r="12" spans="1:16" ht="14.25" customHeight="1" x14ac:dyDescent="0.3">
      <c r="A12" s="13"/>
      <c r="B12" s="14"/>
      <c r="C12" s="15"/>
      <c r="D12" s="18"/>
      <c r="E12" s="47" t="s">
        <v>38</v>
      </c>
      <c r="F12" s="19">
        <v>10</v>
      </c>
      <c r="G12" s="19">
        <f>5%*D12</f>
        <v>0</v>
      </c>
      <c r="H12" s="19">
        <f>SUM(F12:G12)</f>
        <v>10</v>
      </c>
      <c r="I12" s="19">
        <v>0</v>
      </c>
      <c r="J12" s="19"/>
      <c r="K12" s="19">
        <v>10</v>
      </c>
      <c r="L12" s="19">
        <v>0</v>
      </c>
      <c r="M12" s="20">
        <f t="shared" si="0"/>
        <v>10</v>
      </c>
      <c r="N12" s="37" t="s">
        <v>51</v>
      </c>
      <c r="O12" s="36" t="s">
        <v>49</v>
      </c>
      <c r="P12" s="16"/>
    </row>
    <row r="13" spans="1:16" ht="14.25" customHeight="1" x14ac:dyDescent="0.3">
      <c r="A13" s="13"/>
      <c r="B13" s="14"/>
      <c r="C13" s="15"/>
      <c r="D13" s="18"/>
      <c r="E13" s="48" t="s">
        <v>39</v>
      </c>
      <c r="F13" s="19">
        <v>20</v>
      </c>
      <c r="G13" s="19">
        <f>5%*D13</f>
        <v>0</v>
      </c>
      <c r="H13" s="19">
        <f>SUM(F13:G13)</f>
        <v>20</v>
      </c>
      <c r="I13" s="22">
        <v>0</v>
      </c>
      <c r="J13" s="22">
        <v>0</v>
      </c>
      <c r="K13" s="22">
        <v>0</v>
      </c>
      <c r="L13" s="22">
        <v>0</v>
      </c>
      <c r="M13" s="23">
        <f t="shared" si="0"/>
        <v>0</v>
      </c>
      <c r="N13" s="39" t="s">
        <v>51</v>
      </c>
      <c r="O13" s="40" t="s">
        <v>48</v>
      </c>
      <c r="P13" s="16"/>
    </row>
    <row r="14" spans="1:16" ht="14.25" customHeight="1" x14ac:dyDescent="0.3">
      <c r="A14" s="13"/>
      <c r="B14" s="17" t="s">
        <v>58</v>
      </c>
      <c r="C14" s="15" t="s">
        <v>22</v>
      </c>
      <c r="D14" s="18">
        <v>728.56</v>
      </c>
      <c r="E14" s="47" t="s">
        <v>36</v>
      </c>
      <c r="F14" s="19">
        <f>10%*D14</f>
        <v>72.855999999999995</v>
      </c>
      <c r="G14" s="19">
        <f>5%*D14</f>
        <v>36.427999999999997</v>
      </c>
      <c r="H14" s="19">
        <f>SUM(F14:G14)</f>
        <v>109.28399999999999</v>
      </c>
      <c r="I14" s="19">
        <v>0</v>
      </c>
      <c r="J14" s="19">
        <v>8</v>
      </c>
      <c r="K14" s="19">
        <v>5</v>
      </c>
      <c r="L14" s="19">
        <v>0</v>
      </c>
      <c r="M14" s="20">
        <f t="shared" si="0"/>
        <v>13</v>
      </c>
      <c r="N14" s="35"/>
      <c r="O14" s="41"/>
      <c r="P14" s="16"/>
    </row>
    <row r="15" spans="1:16" ht="14.25" customHeight="1" x14ac:dyDescent="0.3">
      <c r="A15" s="13"/>
      <c r="B15" s="14"/>
      <c r="C15" s="15"/>
      <c r="D15" s="26"/>
      <c r="E15" s="47" t="s">
        <v>37</v>
      </c>
      <c r="F15" s="19">
        <v>15</v>
      </c>
      <c r="G15" s="19">
        <v>325</v>
      </c>
      <c r="H15" s="19">
        <f t="shared" ref="H15:H17" si="1">SUM(F15:G15)</f>
        <v>340</v>
      </c>
      <c r="I15" s="19">
        <v>0</v>
      </c>
      <c r="J15" s="19">
        <v>0</v>
      </c>
      <c r="K15" s="19">
        <v>8</v>
      </c>
      <c r="L15" s="19">
        <v>0</v>
      </c>
      <c r="M15" s="20">
        <f t="shared" si="0"/>
        <v>8</v>
      </c>
      <c r="N15" s="35"/>
      <c r="O15" s="36"/>
      <c r="P15" s="16"/>
    </row>
    <row r="16" spans="1:16" ht="14.25" customHeight="1" x14ac:dyDescent="0.3">
      <c r="A16" s="13"/>
      <c r="B16" s="14"/>
      <c r="C16" s="15"/>
      <c r="D16" s="26"/>
      <c r="E16" s="47" t="s">
        <v>38</v>
      </c>
      <c r="F16" s="19">
        <v>100</v>
      </c>
      <c r="G16" s="19">
        <v>400</v>
      </c>
      <c r="H16" s="19">
        <f t="shared" si="1"/>
        <v>500</v>
      </c>
      <c r="I16" s="19">
        <v>0</v>
      </c>
      <c r="J16" s="19">
        <v>0</v>
      </c>
      <c r="K16" s="19">
        <v>0</v>
      </c>
      <c r="L16" s="19">
        <v>0</v>
      </c>
      <c r="M16" s="20">
        <f t="shared" si="0"/>
        <v>0</v>
      </c>
      <c r="N16" s="35"/>
      <c r="O16" s="36"/>
      <c r="P16" s="16"/>
    </row>
    <row r="17" spans="1:16" ht="14.25" customHeight="1" x14ac:dyDescent="0.3">
      <c r="A17" s="54"/>
      <c r="B17" s="55"/>
      <c r="C17" s="56"/>
      <c r="D17" s="57"/>
      <c r="E17" s="58" t="s">
        <v>39</v>
      </c>
      <c r="F17" s="59">
        <v>45</v>
      </c>
      <c r="G17" s="59">
        <v>0</v>
      </c>
      <c r="H17" s="59">
        <f t="shared" si="1"/>
        <v>45</v>
      </c>
      <c r="I17" s="59">
        <v>0</v>
      </c>
      <c r="J17" s="59">
        <v>0</v>
      </c>
      <c r="K17" s="59">
        <v>0</v>
      </c>
      <c r="L17" s="59">
        <v>0</v>
      </c>
      <c r="M17" s="60">
        <f t="shared" si="0"/>
        <v>0</v>
      </c>
      <c r="N17" s="61"/>
      <c r="O17" s="62"/>
      <c r="P17" s="88"/>
    </row>
    <row r="18" spans="1:16" ht="14.25" customHeight="1" x14ac:dyDescent="0.3">
      <c r="A18" s="89"/>
      <c r="B18" s="71"/>
      <c r="C18" s="72"/>
      <c r="D18" s="73">
        <f>SUM(D9:D17)</f>
        <v>1132.1199999999999</v>
      </c>
      <c r="E18" s="74"/>
      <c r="F18" s="118">
        <f>SUM(F9:F17)</f>
        <v>293.03399999999999</v>
      </c>
      <c r="G18" s="118">
        <f>SUM(G9:G17)</f>
        <v>781.60599999999999</v>
      </c>
      <c r="H18" s="118">
        <f>SUM(H9:H17)</f>
        <v>1074.6399999999999</v>
      </c>
      <c r="I18" s="75">
        <f>SUM(I9:I17)</f>
        <v>0</v>
      </c>
      <c r="J18" s="75">
        <f>SUM(J9:J17)</f>
        <v>8</v>
      </c>
      <c r="K18" s="75">
        <f>SUM(K8:K17)</f>
        <v>38</v>
      </c>
      <c r="L18" s="75"/>
      <c r="M18" s="75">
        <f>SUM(M9:M17)</f>
        <v>46</v>
      </c>
      <c r="N18" s="76"/>
      <c r="O18" s="77"/>
      <c r="P18" s="75"/>
    </row>
    <row r="19" spans="1:16" ht="14.25" customHeight="1" x14ac:dyDescent="0.3">
      <c r="A19" s="63">
        <v>2</v>
      </c>
      <c r="B19" s="64" t="s">
        <v>23</v>
      </c>
      <c r="C19" s="65"/>
      <c r="D19" s="66"/>
      <c r="E19" s="67"/>
      <c r="F19" s="68"/>
      <c r="G19" s="68"/>
      <c r="H19" s="68"/>
      <c r="I19" s="68"/>
      <c r="J19" s="68"/>
      <c r="K19" s="68"/>
      <c r="L19" s="68"/>
      <c r="M19" s="68"/>
      <c r="N19" s="69"/>
      <c r="O19" s="70"/>
      <c r="P19" s="68"/>
    </row>
    <row r="20" spans="1:16" ht="14.25" customHeight="1" x14ac:dyDescent="0.3">
      <c r="A20" s="13"/>
      <c r="B20" s="14" t="s">
        <v>57</v>
      </c>
      <c r="C20" s="15" t="s">
        <v>22</v>
      </c>
      <c r="D20" s="26">
        <v>198</v>
      </c>
      <c r="E20" s="47" t="s">
        <v>40</v>
      </c>
      <c r="F20" s="19">
        <v>0</v>
      </c>
      <c r="G20" s="19">
        <f>20%*D20</f>
        <v>39.6</v>
      </c>
      <c r="H20" s="19">
        <f t="shared" ref="H20" si="2">SUM(F20:G20)</f>
        <v>39.6</v>
      </c>
      <c r="I20" s="19">
        <v>0</v>
      </c>
      <c r="J20" s="19">
        <v>15</v>
      </c>
      <c r="K20" s="19">
        <v>5</v>
      </c>
      <c r="L20" s="19">
        <v>0</v>
      </c>
      <c r="M20" s="20">
        <f t="shared" ref="M20" si="3">SUM(I20:L20)</f>
        <v>20</v>
      </c>
      <c r="N20" s="37" t="s">
        <v>51</v>
      </c>
      <c r="O20" s="399" t="s">
        <v>54</v>
      </c>
      <c r="P20" s="16"/>
    </row>
    <row r="21" spans="1:16" ht="14.25" customHeight="1" x14ac:dyDescent="0.3">
      <c r="A21" s="54"/>
      <c r="B21" s="55"/>
      <c r="C21" s="56"/>
      <c r="D21" s="57"/>
      <c r="E21" s="85"/>
      <c r="F21" s="79"/>
      <c r="G21" s="79"/>
      <c r="H21" s="79"/>
      <c r="I21" s="79"/>
      <c r="J21" s="79"/>
      <c r="K21" s="79"/>
      <c r="L21" s="79"/>
      <c r="M21" s="86"/>
      <c r="N21" s="95"/>
      <c r="O21" s="401"/>
      <c r="P21" s="87"/>
    </row>
    <row r="22" spans="1:16" ht="14.25" customHeight="1" x14ac:dyDescent="0.3">
      <c r="A22" s="54"/>
      <c r="B22" s="55" t="s">
        <v>58</v>
      </c>
      <c r="C22" s="56" t="s">
        <v>42</v>
      </c>
      <c r="D22" s="57">
        <v>55</v>
      </c>
      <c r="E22" s="47" t="s">
        <v>40</v>
      </c>
      <c r="F22" s="19">
        <v>0</v>
      </c>
      <c r="G22" s="19">
        <f>10%*D22</f>
        <v>5.5</v>
      </c>
      <c r="H22" s="19">
        <f t="shared" ref="H22" si="4">SUM(F22:G22)</f>
        <v>5.5</v>
      </c>
      <c r="I22" s="19">
        <v>0</v>
      </c>
      <c r="J22" s="19">
        <v>3</v>
      </c>
      <c r="K22" s="19">
        <v>0</v>
      </c>
      <c r="L22" s="19">
        <v>0</v>
      </c>
      <c r="M22" s="20">
        <f t="shared" ref="M22" si="5">SUM(I22:L22)</f>
        <v>3</v>
      </c>
      <c r="N22" s="95"/>
      <c r="O22" s="401"/>
      <c r="P22" s="87"/>
    </row>
    <row r="23" spans="1:16" ht="14.25" customHeight="1" x14ac:dyDescent="0.3">
      <c r="A23" s="54"/>
      <c r="B23" s="55"/>
      <c r="C23" s="56"/>
      <c r="D23" s="57"/>
      <c r="E23" s="85"/>
      <c r="F23" s="79"/>
      <c r="G23" s="79"/>
      <c r="H23" s="79"/>
      <c r="I23" s="79"/>
      <c r="J23" s="79"/>
      <c r="K23" s="79"/>
      <c r="L23" s="79"/>
      <c r="M23" s="86"/>
      <c r="N23" s="95"/>
      <c r="O23" s="401"/>
      <c r="P23" s="87"/>
    </row>
    <row r="24" spans="1:16" ht="14.25" customHeight="1" x14ac:dyDescent="0.3">
      <c r="A24" s="89"/>
      <c r="B24" s="71"/>
      <c r="C24" s="72"/>
      <c r="D24" s="73">
        <f>SUM(D19:D23)</f>
        <v>253</v>
      </c>
      <c r="E24" s="74"/>
      <c r="F24" s="83">
        <f t="shared" ref="F24:K24" si="6">SUM(F19:F23)</f>
        <v>0</v>
      </c>
      <c r="G24" s="83">
        <f t="shared" si="6"/>
        <v>45.1</v>
      </c>
      <c r="H24" s="83">
        <f t="shared" si="6"/>
        <v>45.1</v>
      </c>
      <c r="I24" s="83">
        <f t="shared" si="6"/>
        <v>0</v>
      </c>
      <c r="J24" s="83">
        <f t="shared" si="6"/>
        <v>18</v>
      </c>
      <c r="K24" s="83">
        <f t="shared" si="6"/>
        <v>5</v>
      </c>
      <c r="L24" s="83"/>
      <c r="M24" s="83">
        <f>SUM(M19:M23)</f>
        <v>23</v>
      </c>
      <c r="N24" s="76"/>
      <c r="O24" s="77"/>
      <c r="P24" s="75"/>
    </row>
    <row r="25" spans="1:16" ht="14.25" customHeight="1" x14ac:dyDescent="0.3">
      <c r="A25" s="63">
        <v>3</v>
      </c>
      <c r="B25" s="64" t="s">
        <v>19</v>
      </c>
      <c r="C25" s="65"/>
      <c r="D25" s="66"/>
      <c r="E25" s="67"/>
      <c r="F25" s="82"/>
      <c r="G25" s="82"/>
      <c r="H25" s="82"/>
      <c r="I25" s="82"/>
      <c r="J25" s="82"/>
      <c r="K25" s="82"/>
      <c r="L25" s="82"/>
      <c r="M25" s="82"/>
      <c r="N25" s="69"/>
      <c r="O25" s="70"/>
      <c r="P25" s="68"/>
    </row>
    <row r="26" spans="1:16" ht="14.25" customHeight="1" x14ac:dyDescent="0.3">
      <c r="A26" s="13"/>
      <c r="B26" s="14" t="s">
        <v>57</v>
      </c>
      <c r="C26" s="15" t="s">
        <v>24</v>
      </c>
      <c r="D26" s="26">
        <f>1372.4+494</f>
        <v>1866.4</v>
      </c>
      <c r="E26" s="50" t="s">
        <v>52</v>
      </c>
      <c r="F26" s="19">
        <v>0</v>
      </c>
      <c r="G26" s="26">
        <f t="shared" ref="G26:G33" si="7">50%*D26</f>
        <v>933.2</v>
      </c>
      <c r="H26" s="26">
        <f>SUM(F26:G26)</f>
        <v>933.2</v>
      </c>
      <c r="I26" s="19">
        <v>0</v>
      </c>
      <c r="J26" s="19">
        <v>5</v>
      </c>
      <c r="K26" s="19">
        <v>0</v>
      </c>
      <c r="L26" s="19">
        <v>0</v>
      </c>
      <c r="M26" s="19">
        <f>SUM(I26:L26)</f>
        <v>5</v>
      </c>
      <c r="N26" s="35"/>
      <c r="O26" s="43" t="s">
        <v>148</v>
      </c>
      <c r="P26" s="16"/>
    </row>
    <row r="27" spans="1:16" ht="14.25" customHeight="1" x14ac:dyDescent="0.3">
      <c r="A27" s="13"/>
      <c r="B27" s="14" t="s">
        <v>58</v>
      </c>
      <c r="C27" s="15" t="s">
        <v>25</v>
      </c>
      <c r="D27" s="26">
        <f>994.7+363.2</f>
        <v>1357.9</v>
      </c>
      <c r="E27" s="50" t="s">
        <v>52</v>
      </c>
      <c r="F27" s="19">
        <v>0</v>
      </c>
      <c r="G27" s="26">
        <f t="shared" si="7"/>
        <v>678.95</v>
      </c>
      <c r="H27" s="26">
        <f t="shared" ref="H27:H41" si="8">SUM(F27:G27)</f>
        <v>678.95</v>
      </c>
      <c r="I27" s="19">
        <v>0</v>
      </c>
      <c r="J27" s="19">
        <v>0</v>
      </c>
      <c r="K27" s="19">
        <v>4</v>
      </c>
      <c r="L27" s="19">
        <v>0</v>
      </c>
      <c r="M27" s="19">
        <f t="shared" ref="M27:M41" si="9">SUM(I27:L27)</f>
        <v>4</v>
      </c>
      <c r="N27" s="35"/>
      <c r="O27" s="43" t="s">
        <v>149</v>
      </c>
      <c r="P27" s="16"/>
    </row>
    <row r="28" spans="1:16" ht="14.25" customHeight="1" x14ac:dyDescent="0.3">
      <c r="A28" s="13"/>
      <c r="B28" s="14" t="s">
        <v>59</v>
      </c>
      <c r="C28" s="15" t="s">
        <v>26</v>
      </c>
      <c r="D28" s="26">
        <f>976.5+338</f>
        <v>1314.5</v>
      </c>
      <c r="E28" s="50" t="s">
        <v>52</v>
      </c>
      <c r="F28" s="19">
        <v>0</v>
      </c>
      <c r="G28" s="26">
        <f t="shared" si="7"/>
        <v>657.25</v>
      </c>
      <c r="H28" s="26">
        <f t="shared" si="8"/>
        <v>657.25</v>
      </c>
      <c r="I28" s="19">
        <v>0</v>
      </c>
      <c r="J28" s="19">
        <v>0</v>
      </c>
      <c r="K28" s="19">
        <v>0</v>
      </c>
      <c r="L28" s="19">
        <v>0</v>
      </c>
      <c r="M28" s="19">
        <f t="shared" si="9"/>
        <v>0</v>
      </c>
      <c r="N28" s="35"/>
      <c r="O28" s="43" t="s">
        <v>150</v>
      </c>
      <c r="P28" s="16"/>
    </row>
    <row r="29" spans="1:16" ht="14.25" customHeight="1" x14ac:dyDescent="0.3">
      <c r="A29" s="13"/>
      <c r="B29" s="14" t="s">
        <v>60</v>
      </c>
      <c r="C29" s="15" t="s">
        <v>55</v>
      </c>
      <c r="D29" s="26">
        <f>291.6+46.93</f>
        <v>338.53000000000003</v>
      </c>
      <c r="E29" s="50" t="s">
        <v>52</v>
      </c>
      <c r="F29" s="19">
        <v>0</v>
      </c>
      <c r="G29" s="26">
        <f t="shared" si="7"/>
        <v>169.26500000000001</v>
      </c>
      <c r="H29" s="26">
        <f t="shared" si="8"/>
        <v>169.26500000000001</v>
      </c>
      <c r="I29" s="19">
        <v>0</v>
      </c>
      <c r="J29" s="19">
        <v>0</v>
      </c>
      <c r="K29" s="19">
        <v>0</v>
      </c>
      <c r="L29" s="19">
        <v>0</v>
      </c>
      <c r="M29" s="19">
        <f t="shared" si="9"/>
        <v>0</v>
      </c>
      <c r="N29" s="35"/>
      <c r="O29" s="43" t="s">
        <v>151</v>
      </c>
      <c r="P29" s="16"/>
    </row>
    <row r="30" spans="1:16" ht="14.25" customHeight="1" x14ac:dyDescent="0.3">
      <c r="A30" s="13"/>
      <c r="B30" s="14" t="s">
        <v>61</v>
      </c>
      <c r="C30" s="15" t="s">
        <v>27</v>
      </c>
      <c r="D30" s="26">
        <f>831.5+161.25</f>
        <v>992.75</v>
      </c>
      <c r="E30" s="50" t="s">
        <v>52</v>
      </c>
      <c r="F30" s="19">
        <v>0</v>
      </c>
      <c r="G30" s="26">
        <f t="shared" si="7"/>
        <v>496.375</v>
      </c>
      <c r="H30" s="26">
        <f t="shared" si="8"/>
        <v>496.375</v>
      </c>
      <c r="I30" s="19">
        <v>0</v>
      </c>
      <c r="J30" s="19">
        <v>0</v>
      </c>
      <c r="K30" s="19">
        <v>0</v>
      </c>
      <c r="L30" s="19">
        <v>0</v>
      </c>
      <c r="M30" s="19">
        <f t="shared" si="9"/>
        <v>0</v>
      </c>
      <c r="N30" s="35"/>
      <c r="O30" s="44" t="s">
        <v>162</v>
      </c>
      <c r="P30" s="16"/>
    </row>
    <row r="31" spans="1:16" ht="14.25" customHeight="1" x14ac:dyDescent="0.3">
      <c r="A31" s="13"/>
      <c r="B31" s="14" t="s">
        <v>62</v>
      </c>
      <c r="C31" s="15" t="s">
        <v>28</v>
      </c>
      <c r="D31" s="26">
        <f>868+618.6</f>
        <v>1486.6</v>
      </c>
      <c r="E31" s="50" t="s">
        <v>52</v>
      </c>
      <c r="F31" s="19">
        <v>0</v>
      </c>
      <c r="G31" s="26">
        <f t="shared" si="7"/>
        <v>743.3</v>
      </c>
      <c r="H31" s="26">
        <f t="shared" si="8"/>
        <v>743.3</v>
      </c>
      <c r="I31" s="19">
        <v>0</v>
      </c>
      <c r="J31" s="19">
        <v>0</v>
      </c>
      <c r="K31" s="19">
        <v>0</v>
      </c>
      <c r="L31" s="19">
        <v>0</v>
      </c>
      <c r="M31" s="19">
        <f t="shared" si="9"/>
        <v>0</v>
      </c>
      <c r="N31" s="35"/>
      <c r="O31" s="43" t="s">
        <v>152</v>
      </c>
      <c r="P31" s="16"/>
    </row>
    <row r="32" spans="1:16" ht="14.25" customHeight="1" x14ac:dyDescent="0.3">
      <c r="A32" s="13"/>
      <c r="B32" s="14" t="s">
        <v>63</v>
      </c>
      <c r="C32" s="15" t="s">
        <v>29</v>
      </c>
      <c r="D32" s="26">
        <f>1546+278.5</f>
        <v>1824.5</v>
      </c>
      <c r="E32" s="50" t="s">
        <v>52</v>
      </c>
      <c r="F32" s="19">
        <v>0</v>
      </c>
      <c r="G32" s="26">
        <f t="shared" si="7"/>
        <v>912.25</v>
      </c>
      <c r="H32" s="26">
        <f t="shared" si="8"/>
        <v>912.25</v>
      </c>
      <c r="I32" s="19">
        <v>0</v>
      </c>
      <c r="J32" s="19">
        <v>0</v>
      </c>
      <c r="K32" s="19">
        <v>0</v>
      </c>
      <c r="L32" s="19">
        <v>0</v>
      </c>
      <c r="M32" s="19">
        <f t="shared" si="9"/>
        <v>0</v>
      </c>
      <c r="N32" s="35"/>
      <c r="O32" s="43" t="s">
        <v>153</v>
      </c>
      <c r="P32" s="16"/>
    </row>
    <row r="33" spans="1:16" ht="14.25" customHeight="1" x14ac:dyDescent="0.3">
      <c r="A33" s="13"/>
      <c r="B33" s="14" t="s">
        <v>64</v>
      </c>
      <c r="C33" s="15" t="s">
        <v>56</v>
      </c>
      <c r="D33" s="26">
        <f>156.4+34.9</f>
        <v>191.3</v>
      </c>
      <c r="E33" s="50" t="s">
        <v>52</v>
      </c>
      <c r="F33" s="19">
        <v>0</v>
      </c>
      <c r="G33" s="26">
        <f t="shared" si="7"/>
        <v>95.65</v>
      </c>
      <c r="H33" s="26">
        <f t="shared" si="8"/>
        <v>95.65</v>
      </c>
      <c r="I33" s="19">
        <v>0</v>
      </c>
      <c r="J33" s="19">
        <v>0</v>
      </c>
      <c r="K33" s="19">
        <v>0</v>
      </c>
      <c r="L33" s="19">
        <v>0</v>
      </c>
      <c r="M33" s="19">
        <f t="shared" si="9"/>
        <v>0</v>
      </c>
      <c r="N33" s="35"/>
      <c r="O33" s="43" t="s">
        <v>154</v>
      </c>
      <c r="P33" s="16"/>
    </row>
    <row r="34" spans="1:16" ht="14.25" customHeight="1" x14ac:dyDescent="0.3">
      <c r="A34" s="13"/>
      <c r="B34" s="14" t="s">
        <v>65</v>
      </c>
      <c r="C34" s="15" t="s">
        <v>30</v>
      </c>
      <c r="D34" s="26">
        <f>1499.7+565.1</f>
        <v>2064.8000000000002</v>
      </c>
      <c r="E34" s="50" t="s">
        <v>52</v>
      </c>
      <c r="F34" s="19">
        <v>0</v>
      </c>
      <c r="G34" s="26">
        <f>30%*D34</f>
        <v>619.44000000000005</v>
      </c>
      <c r="H34" s="26">
        <f t="shared" si="8"/>
        <v>619.44000000000005</v>
      </c>
      <c r="I34" s="19">
        <v>0</v>
      </c>
      <c r="J34" s="19">
        <v>0</v>
      </c>
      <c r="K34" s="19">
        <v>0</v>
      </c>
      <c r="L34" s="19">
        <v>0</v>
      </c>
      <c r="M34" s="19">
        <f t="shared" si="9"/>
        <v>0</v>
      </c>
      <c r="N34" s="35"/>
      <c r="O34" s="43" t="s">
        <v>155</v>
      </c>
      <c r="P34" s="16"/>
    </row>
    <row r="35" spans="1:16" ht="14.25" customHeight="1" x14ac:dyDescent="0.3">
      <c r="A35" s="13"/>
      <c r="B35" s="14" t="s">
        <v>66</v>
      </c>
      <c r="C35" s="15" t="s">
        <v>31</v>
      </c>
      <c r="D35" s="26">
        <f>1207+389</f>
        <v>1596</v>
      </c>
      <c r="E35" s="50" t="s">
        <v>52</v>
      </c>
      <c r="F35" s="19">
        <v>0</v>
      </c>
      <c r="G35" s="26">
        <f>50%*D35</f>
        <v>798</v>
      </c>
      <c r="H35" s="26">
        <f t="shared" si="8"/>
        <v>798</v>
      </c>
      <c r="I35" s="19">
        <v>0</v>
      </c>
      <c r="J35" s="19">
        <v>0</v>
      </c>
      <c r="K35" s="19">
        <v>0</v>
      </c>
      <c r="L35" s="19">
        <v>0</v>
      </c>
      <c r="M35" s="19">
        <f t="shared" si="9"/>
        <v>0</v>
      </c>
      <c r="N35" s="35"/>
      <c r="O35" s="43" t="s">
        <v>156</v>
      </c>
      <c r="P35" s="16"/>
    </row>
    <row r="36" spans="1:16" ht="14.25" customHeight="1" x14ac:dyDescent="0.3">
      <c r="A36" s="13"/>
      <c r="B36" s="14" t="s">
        <v>67</v>
      </c>
      <c r="C36" s="15" t="s">
        <v>32</v>
      </c>
      <c r="D36" s="26">
        <f>998.9+79.5</f>
        <v>1078.4000000000001</v>
      </c>
      <c r="E36" s="50" t="s">
        <v>52</v>
      </c>
      <c r="F36" s="19">
        <v>0</v>
      </c>
      <c r="G36" s="26">
        <f t="shared" ref="G36:G51" si="10">30%*D36</f>
        <v>323.52000000000004</v>
      </c>
      <c r="H36" s="26">
        <f t="shared" si="8"/>
        <v>323.52000000000004</v>
      </c>
      <c r="I36" s="19">
        <v>0</v>
      </c>
      <c r="J36" s="19">
        <v>0</v>
      </c>
      <c r="K36" s="19">
        <v>0</v>
      </c>
      <c r="L36" s="19">
        <v>0</v>
      </c>
      <c r="M36" s="19">
        <f t="shared" si="9"/>
        <v>0</v>
      </c>
      <c r="N36" s="35"/>
      <c r="O36" s="43" t="s">
        <v>157</v>
      </c>
      <c r="P36" s="16"/>
    </row>
    <row r="37" spans="1:16" ht="14.25" customHeight="1" x14ac:dyDescent="0.3">
      <c r="A37" s="13"/>
      <c r="B37" s="14" t="s">
        <v>68</v>
      </c>
      <c r="C37" s="15" t="s">
        <v>33</v>
      </c>
      <c r="D37" s="26">
        <f>1304+57.5</f>
        <v>1361.5</v>
      </c>
      <c r="E37" s="50" t="s">
        <v>52</v>
      </c>
      <c r="F37" s="19">
        <v>0</v>
      </c>
      <c r="G37" s="26">
        <f t="shared" si="10"/>
        <v>408.45</v>
      </c>
      <c r="H37" s="26">
        <f t="shared" si="8"/>
        <v>408.45</v>
      </c>
      <c r="I37" s="19">
        <v>0</v>
      </c>
      <c r="J37" s="19">
        <v>0</v>
      </c>
      <c r="K37" s="19">
        <v>0</v>
      </c>
      <c r="L37" s="19">
        <v>0</v>
      </c>
      <c r="M37" s="19">
        <f t="shared" si="9"/>
        <v>0</v>
      </c>
      <c r="N37" s="35"/>
      <c r="O37" s="43" t="s">
        <v>158</v>
      </c>
      <c r="P37" s="16"/>
    </row>
    <row r="38" spans="1:16" ht="14.25" customHeight="1" x14ac:dyDescent="0.3">
      <c r="A38" s="13"/>
      <c r="B38" s="14" t="s">
        <v>69</v>
      </c>
      <c r="C38" s="15" t="s">
        <v>34</v>
      </c>
      <c r="D38" s="26">
        <f>1784.1+362</f>
        <v>2146.1</v>
      </c>
      <c r="E38" s="50" t="s">
        <v>52</v>
      </c>
      <c r="F38" s="19">
        <v>0</v>
      </c>
      <c r="G38" s="26">
        <f t="shared" si="10"/>
        <v>643.82999999999993</v>
      </c>
      <c r="H38" s="26">
        <f t="shared" si="8"/>
        <v>643.82999999999993</v>
      </c>
      <c r="I38" s="19">
        <v>0</v>
      </c>
      <c r="J38" s="19">
        <v>10</v>
      </c>
      <c r="K38" s="19">
        <v>5</v>
      </c>
      <c r="L38" s="19">
        <v>0</v>
      </c>
      <c r="M38" s="19">
        <f t="shared" si="9"/>
        <v>15</v>
      </c>
      <c r="N38" s="35"/>
      <c r="O38" s="43" t="s">
        <v>159</v>
      </c>
      <c r="P38" s="16"/>
    </row>
    <row r="39" spans="1:16" ht="14.25" customHeight="1" x14ac:dyDescent="0.3">
      <c r="A39" s="13"/>
      <c r="B39" s="14" t="s">
        <v>70</v>
      </c>
      <c r="C39" s="15" t="s">
        <v>35</v>
      </c>
      <c r="D39" s="26">
        <f>1557+181.5</f>
        <v>1738.5</v>
      </c>
      <c r="E39" s="50" t="s">
        <v>52</v>
      </c>
      <c r="F39" s="19">
        <v>0</v>
      </c>
      <c r="G39" s="26">
        <f t="shared" si="10"/>
        <v>521.54999999999995</v>
      </c>
      <c r="H39" s="26">
        <f t="shared" si="8"/>
        <v>521.54999999999995</v>
      </c>
      <c r="I39" s="19">
        <v>0</v>
      </c>
      <c r="J39" s="19">
        <v>0</v>
      </c>
      <c r="K39" s="19">
        <v>0</v>
      </c>
      <c r="L39" s="19">
        <v>0</v>
      </c>
      <c r="M39" s="19">
        <f t="shared" si="9"/>
        <v>0</v>
      </c>
      <c r="N39" s="35"/>
      <c r="O39" s="43" t="s">
        <v>160</v>
      </c>
      <c r="P39" s="16"/>
    </row>
    <row r="40" spans="1:16" ht="14.25" customHeight="1" x14ac:dyDescent="0.3">
      <c r="A40" s="13"/>
      <c r="B40" s="14" t="s">
        <v>71</v>
      </c>
      <c r="C40" s="15" t="s">
        <v>21</v>
      </c>
      <c r="D40" s="26">
        <f>1940+114</f>
        <v>2054</v>
      </c>
      <c r="E40" s="50" t="s">
        <v>52</v>
      </c>
      <c r="F40" s="19">
        <v>0</v>
      </c>
      <c r="G40" s="26">
        <f t="shared" si="10"/>
        <v>616.19999999999993</v>
      </c>
      <c r="H40" s="26">
        <f t="shared" si="8"/>
        <v>616.19999999999993</v>
      </c>
      <c r="I40" s="19">
        <v>0</v>
      </c>
      <c r="J40" s="19">
        <v>0</v>
      </c>
      <c r="K40" s="19">
        <v>0</v>
      </c>
      <c r="L40" s="19">
        <v>0</v>
      </c>
      <c r="M40" s="19">
        <f t="shared" si="9"/>
        <v>0</v>
      </c>
      <c r="N40" s="35"/>
      <c r="O40" s="43" t="s">
        <v>161</v>
      </c>
      <c r="P40" s="16"/>
    </row>
    <row r="41" spans="1:16" ht="14.25" customHeight="1" x14ac:dyDescent="0.3">
      <c r="A41" s="13"/>
      <c r="B41" s="14" t="s">
        <v>72</v>
      </c>
      <c r="C41" s="15" t="s">
        <v>42</v>
      </c>
      <c r="D41" s="26">
        <f>773.1+303.8</f>
        <v>1076.9000000000001</v>
      </c>
      <c r="E41" s="50" t="s">
        <v>52</v>
      </c>
      <c r="F41" s="19">
        <v>0</v>
      </c>
      <c r="G41" s="26">
        <f t="shared" si="10"/>
        <v>323.07</v>
      </c>
      <c r="H41" s="26">
        <f t="shared" si="8"/>
        <v>323.07</v>
      </c>
      <c r="I41" s="19">
        <v>0</v>
      </c>
      <c r="J41" s="19">
        <v>0</v>
      </c>
      <c r="K41" s="19">
        <v>0</v>
      </c>
      <c r="L41" s="19">
        <v>0</v>
      </c>
      <c r="M41" s="19">
        <f t="shared" si="9"/>
        <v>0</v>
      </c>
      <c r="N41" s="35"/>
      <c r="O41" s="36"/>
      <c r="P41" s="16"/>
    </row>
    <row r="42" spans="1:16" ht="14.25" customHeight="1" x14ac:dyDescent="0.3">
      <c r="A42" s="13"/>
      <c r="B42" s="14" t="s">
        <v>73</v>
      </c>
      <c r="C42" s="15" t="s">
        <v>105</v>
      </c>
      <c r="D42" s="26">
        <f>153.8+8.7</f>
        <v>162.5</v>
      </c>
      <c r="E42" s="50" t="s">
        <v>52</v>
      </c>
      <c r="F42" s="19">
        <v>0</v>
      </c>
      <c r="G42" s="26">
        <f t="shared" si="10"/>
        <v>48.75</v>
      </c>
      <c r="H42" s="26">
        <f t="shared" ref="H42:H45" si="11">SUM(F42:G42)</f>
        <v>48.75</v>
      </c>
      <c r="I42" s="19">
        <v>0</v>
      </c>
      <c r="J42" s="19">
        <v>0</v>
      </c>
      <c r="K42" s="19">
        <v>0</v>
      </c>
      <c r="L42" s="19">
        <v>0</v>
      </c>
      <c r="M42" s="19">
        <f t="shared" ref="M42:M45" si="12">SUM(I42:L42)</f>
        <v>0</v>
      </c>
      <c r="N42" s="35"/>
      <c r="O42" s="36"/>
      <c r="P42" s="16"/>
    </row>
    <row r="43" spans="1:16" ht="14.25" customHeight="1" x14ac:dyDescent="0.3">
      <c r="A43" s="13"/>
      <c r="B43" s="14" t="s">
        <v>74</v>
      </c>
      <c r="C43" s="15" t="s">
        <v>110</v>
      </c>
      <c r="D43" s="26">
        <f>695+48.2</f>
        <v>743.2</v>
      </c>
      <c r="E43" s="50" t="s">
        <v>52</v>
      </c>
      <c r="F43" s="19">
        <v>0</v>
      </c>
      <c r="G43" s="26">
        <f t="shared" si="10"/>
        <v>222.96</v>
      </c>
      <c r="H43" s="26">
        <f t="shared" si="11"/>
        <v>222.96</v>
      </c>
      <c r="I43" s="19">
        <v>0</v>
      </c>
      <c r="J43" s="19">
        <v>0</v>
      </c>
      <c r="K43" s="19">
        <v>0</v>
      </c>
      <c r="L43" s="19">
        <v>0</v>
      </c>
      <c r="M43" s="19">
        <f t="shared" si="12"/>
        <v>0</v>
      </c>
      <c r="N43" s="35"/>
      <c r="O43" s="36"/>
      <c r="P43" s="16"/>
    </row>
    <row r="44" spans="1:16" ht="14.25" customHeight="1" x14ac:dyDescent="0.3">
      <c r="A44" s="13"/>
      <c r="B44" s="14" t="s">
        <v>75</v>
      </c>
      <c r="C44" s="15" t="s">
        <v>112</v>
      </c>
      <c r="D44" s="26">
        <f>375+14</f>
        <v>389</v>
      </c>
      <c r="E44" s="50" t="s">
        <v>52</v>
      </c>
      <c r="F44" s="19">
        <v>0</v>
      </c>
      <c r="G44" s="26">
        <f t="shared" si="10"/>
        <v>116.69999999999999</v>
      </c>
      <c r="H44" s="26">
        <f t="shared" si="11"/>
        <v>116.69999999999999</v>
      </c>
      <c r="I44" s="19">
        <v>0</v>
      </c>
      <c r="J44" s="19">
        <v>0</v>
      </c>
      <c r="K44" s="19">
        <v>0</v>
      </c>
      <c r="L44" s="19">
        <v>0</v>
      </c>
      <c r="M44" s="19">
        <f t="shared" si="12"/>
        <v>0</v>
      </c>
      <c r="N44" s="35"/>
      <c r="O44" s="36"/>
      <c r="P44" s="16"/>
    </row>
    <row r="45" spans="1:16" ht="14.25" customHeight="1" x14ac:dyDescent="0.3">
      <c r="A45" s="13"/>
      <c r="B45" s="14" t="s">
        <v>104</v>
      </c>
      <c r="C45" s="15" t="s">
        <v>114</v>
      </c>
      <c r="D45" s="26">
        <f>73.5</f>
        <v>73.5</v>
      </c>
      <c r="E45" s="50" t="s">
        <v>52</v>
      </c>
      <c r="F45" s="19">
        <v>0</v>
      </c>
      <c r="G45" s="26">
        <f t="shared" si="10"/>
        <v>22.05</v>
      </c>
      <c r="H45" s="26">
        <f t="shared" si="11"/>
        <v>22.05</v>
      </c>
      <c r="I45" s="19">
        <v>0</v>
      </c>
      <c r="J45" s="19">
        <v>0</v>
      </c>
      <c r="K45" s="19">
        <v>0</v>
      </c>
      <c r="L45" s="19">
        <v>0</v>
      </c>
      <c r="M45" s="19">
        <f t="shared" si="12"/>
        <v>0</v>
      </c>
      <c r="N45" s="35"/>
      <c r="O45" s="36"/>
      <c r="P45" s="16"/>
    </row>
    <row r="46" spans="1:16" ht="14.25" customHeight="1" x14ac:dyDescent="0.3">
      <c r="A46" s="13"/>
      <c r="B46" s="14" t="s">
        <v>106</v>
      </c>
      <c r="C46" s="15" t="s">
        <v>22</v>
      </c>
      <c r="D46" s="26">
        <f>1130+101</f>
        <v>1231</v>
      </c>
      <c r="E46" s="50" t="s">
        <v>52</v>
      </c>
      <c r="F46" s="19">
        <v>0</v>
      </c>
      <c r="G46" s="26">
        <f t="shared" si="10"/>
        <v>369.3</v>
      </c>
      <c r="H46" s="26">
        <f t="shared" ref="H46:H51" si="13">SUM(F46:G46)</f>
        <v>369.3</v>
      </c>
      <c r="I46" s="19">
        <v>0</v>
      </c>
      <c r="J46" s="19">
        <v>0</v>
      </c>
      <c r="K46" s="19">
        <v>0</v>
      </c>
      <c r="L46" s="19">
        <v>0</v>
      </c>
      <c r="M46" s="19">
        <f t="shared" ref="M46:M51" si="14">SUM(I46:L46)</f>
        <v>0</v>
      </c>
      <c r="N46" s="35"/>
      <c r="O46" s="36"/>
      <c r="P46" s="16"/>
    </row>
    <row r="47" spans="1:16" ht="14.25" customHeight="1" x14ac:dyDescent="0.3">
      <c r="A47" s="13"/>
      <c r="B47" s="14" t="s">
        <v>108</v>
      </c>
      <c r="C47" s="15" t="s">
        <v>180</v>
      </c>
      <c r="D47" s="26">
        <f>134.8+5</f>
        <v>139.80000000000001</v>
      </c>
      <c r="E47" s="50" t="s">
        <v>52</v>
      </c>
      <c r="F47" s="19">
        <v>0</v>
      </c>
      <c r="G47" s="26">
        <f t="shared" si="10"/>
        <v>41.940000000000005</v>
      </c>
      <c r="H47" s="26">
        <f t="shared" si="13"/>
        <v>41.940000000000005</v>
      </c>
      <c r="I47" s="19">
        <v>0</v>
      </c>
      <c r="J47" s="19">
        <v>0</v>
      </c>
      <c r="K47" s="19">
        <v>0</v>
      </c>
      <c r="L47" s="19">
        <v>0</v>
      </c>
      <c r="M47" s="19">
        <f t="shared" si="14"/>
        <v>0</v>
      </c>
      <c r="N47" s="35"/>
      <c r="O47" s="36"/>
      <c r="P47" s="16"/>
    </row>
    <row r="48" spans="1:16" ht="14.25" customHeight="1" x14ac:dyDescent="0.3">
      <c r="A48" s="13"/>
      <c r="B48" s="14" t="s">
        <v>109</v>
      </c>
      <c r="C48" s="15" t="s">
        <v>43</v>
      </c>
      <c r="D48" s="26">
        <f>1189+216.6</f>
        <v>1405.6</v>
      </c>
      <c r="E48" s="50" t="s">
        <v>52</v>
      </c>
      <c r="F48" s="19">
        <v>0</v>
      </c>
      <c r="G48" s="26">
        <f t="shared" si="10"/>
        <v>421.67999999999995</v>
      </c>
      <c r="H48" s="26">
        <f t="shared" si="13"/>
        <v>421.67999999999995</v>
      </c>
      <c r="I48" s="19">
        <v>0</v>
      </c>
      <c r="J48" s="19">
        <v>0</v>
      </c>
      <c r="K48" s="19">
        <v>0</v>
      </c>
      <c r="L48" s="19">
        <v>0</v>
      </c>
      <c r="M48" s="19">
        <f t="shared" si="14"/>
        <v>0</v>
      </c>
      <c r="N48" s="35"/>
      <c r="O48" s="36"/>
      <c r="P48" s="16"/>
    </row>
    <row r="49" spans="1:16" ht="14.25" customHeight="1" x14ac:dyDescent="0.3">
      <c r="A49" s="13"/>
      <c r="B49" s="55" t="s">
        <v>111</v>
      </c>
      <c r="C49" s="56" t="s">
        <v>44</v>
      </c>
      <c r="D49" s="57">
        <f>1396.6+127</f>
        <v>1523.6</v>
      </c>
      <c r="E49" s="78" t="s">
        <v>52</v>
      </c>
      <c r="F49" s="19">
        <v>0</v>
      </c>
      <c r="G49" s="26">
        <f t="shared" si="10"/>
        <v>457.08</v>
      </c>
      <c r="H49" s="26">
        <f t="shared" si="13"/>
        <v>457.08</v>
      </c>
      <c r="I49" s="19">
        <v>0</v>
      </c>
      <c r="J49" s="19">
        <v>0</v>
      </c>
      <c r="K49" s="19">
        <v>0</v>
      </c>
      <c r="L49" s="19">
        <v>0</v>
      </c>
      <c r="M49" s="19">
        <f t="shared" si="14"/>
        <v>0</v>
      </c>
      <c r="N49" s="35"/>
      <c r="O49" s="36"/>
      <c r="P49" s="16"/>
    </row>
    <row r="50" spans="1:16" ht="14.25" customHeight="1" x14ac:dyDescent="0.3">
      <c r="A50" s="13"/>
      <c r="B50" s="14" t="s">
        <v>74</v>
      </c>
      <c r="C50" s="15" t="s">
        <v>43</v>
      </c>
      <c r="D50" s="26">
        <v>1189</v>
      </c>
      <c r="E50" s="50" t="s">
        <v>52</v>
      </c>
      <c r="F50" s="19">
        <v>0</v>
      </c>
      <c r="G50" s="26">
        <f t="shared" si="10"/>
        <v>356.7</v>
      </c>
      <c r="H50" s="26">
        <f t="shared" si="13"/>
        <v>356.7</v>
      </c>
      <c r="I50" s="19">
        <v>0</v>
      </c>
      <c r="J50" s="19">
        <v>0</v>
      </c>
      <c r="K50" s="19">
        <v>0</v>
      </c>
      <c r="L50" s="19">
        <v>0</v>
      </c>
      <c r="M50" s="19">
        <f t="shared" si="14"/>
        <v>0</v>
      </c>
      <c r="N50" s="35"/>
      <c r="O50" s="36"/>
      <c r="P50" s="16"/>
    </row>
    <row r="51" spans="1:16" ht="14.25" customHeight="1" x14ac:dyDescent="0.3">
      <c r="A51" s="54"/>
      <c r="B51" s="55" t="s">
        <v>75</v>
      </c>
      <c r="C51" s="56" t="s">
        <v>44</v>
      </c>
      <c r="D51" s="57">
        <v>1391</v>
      </c>
      <c r="E51" s="78" t="s">
        <v>52</v>
      </c>
      <c r="F51" s="19">
        <v>0</v>
      </c>
      <c r="G51" s="26">
        <f t="shared" si="10"/>
        <v>417.3</v>
      </c>
      <c r="H51" s="26">
        <f t="shared" si="13"/>
        <v>417.3</v>
      </c>
      <c r="I51" s="19">
        <v>0</v>
      </c>
      <c r="J51" s="19">
        <v>0</v>
      </c>
      <c r="K51" s="19">
        <v>0</v>
      </c>
      <c r="L51" s="19">
        <v>0</v>
      </c>
      <c r="M51" s="19">
        <f t="shared" si="14"/>
        <v>0</v>
      </c>
      <c r="N51" s="80"/>
      <c r="O51" s="81"/>
      <c r="P51" s="87"/>
    </row>
    <row r="52" spans="1:16" ht="14.25" customHeight="1" x14ac:dyDescent="0.3">
      <c r="A52" s="89"/>
      <c r="B52" s="71"/>
      <c r="C52" s="72"/>
      <c r="D52" s="84">
        <f>SUM(D26:D51)</f>
        <v>30736.879999999997</v>
      </c>
      <c r="E52" s="74"/>
      <c r="F52" s="83">
        <f t="shared" ref="F52:M52" si="15">SUM(F26:F51)</f>
        <v>0</v>
      </c>
      <c r="G52" s="83">
        <f t="shared" si="15"/>
        <v>11414.76</v>
      </c>
      <c r="H52" s="83">
        <f t="shared" si="15"/>
        <v>11414.76</v>
      </c>
      <c r="I52" s="83">
        <f t="shared" si="15"/>
        <v>0</v>
      </c>
      <c r="J52" s="83">
        <f t="shared" si="15"/>
        <v>15</v>
      </c>
      <c r="K52" s="83">
        <f t="shared" si="15"/>
        <v>9</v>
      </c>
      <c r="L52" s="83">
        <f t="shared" si="15"/>
        <v>0</v>
      </c>
      <c r="M52" s="83">
        <f t="shared" si="15"/>
        <v>24</v>
      </c>
      <c r="N52" s="76"/>
      <c r="O52" s="77"/>
      <c r="P52" s="75"/>
    </row>
    <row r="53" spans="1:16" ht="14.25" customHeight="1" x14ac:dyDescent="0.3">
      <c r="A53" s="63">
        <v>4</v>
      </c>
      <c r="B53" s="64" t="s">
        <v>46</v>
      </c>
      <c r="C53" s="65"/>
      <c r="D53" s="66"/>
      <c r="E53" s="67"/>
      <c r="F53" s="82"/>
      <c r="G53" s="82"/>
      <c r="H53" s="82"/>
      <c r="I53" s="82"/>
      <c r="J53" s="82"/>
      <c r="K53" s="82"/>
      <c r="L53" s="82"/>
      <c r="M53" s="82"/>
      <c r="N53" s="69"/>
      <c r="O53" s="70"/>
      <c r="P53" s="68"/>
    </row>
    <row r="54" spans="1:16" ht="30.75" customHeight="1" x14ac:dyDescent="0.3">
      <c r="A54" s="102"/>
      <c r="B54" s="98" t="s">
        <v>57</v>
      </c>
      <c r="C54" s="99" t="s">
        <v>29</v>
      </c>
      <c r="D54" s="96">
        <v>175</v>
      </c>
      <c r="E54" s="101" t="s">
        <v>184</v>
      </c>
      <c r="F54" s="96">
        <f>10%*D54</f>
        <v>17.5</v>
      </c>
      <c r="G54" s="97">
        <v>0</v>
      </c>
      <c r="H54" s="96">
        <f t="shared" ref="H54:H60" si="16">SUM(F54:G54)</f>
        <v>17.5</v>
      </c>
      <c r="I54" s="97">
        <v>0</v>
      </c>
      <c r="J54" s="97"/>
      <c r="K54" s="97">
        <v>0</v>
      </c>
      <c r="L54" s="97">
        <v>0</v>
      </c>
      <c r="M54" s="97">
        <f t="shared" ref="M54:M60" si="17">SUM(I54:L54)</f>
        <v>0</v>
      </c>
      <c r="N54" s="35"/>
      <c r="O54" s="36" t="s">
        <v>93</v>
      </c>
      <c r="P54" s="16"/>
    </row>
    <row r="55" spans="1:16" ht="14.25" customHeight="1" x14ac:dyDescent="0.3">
      <c r="A55" s="13"/>
      <c r="B55" s="14" t="s">
        <v>58</v>
      </c>
      <c r="C55" s="15" t="s">
        <v>33</v>
      </c>
      <c r="D55" s="26">
        <v>270</v>
      </c>
      <c r="E55" s="47" t="s">
        <v>185</v>
      </c>
      <c r="F55" s="26">
        <f>10%*D55</f>
        <v>27</v>
      </c>
      <c r="G55" s="19">
        <v>0</v>
      </c>
      <c r="H55" s="26">
        <f t="shared" si="16"/>
        <v>27</v>
      </c>
      <c r="I55" s="19">
        <v>0</v>
      </c>
      <c r="J55" s="19"/>
      <c r="K55" s="19">
        <v>0</v>
      </c>
      <c r="L55" s="19">
        <v>0</v>
      </c>
      <c r="M55" s="19">
        <f t="shared" si="17"/>
        <v>0</v>
      </c>
      <c r="N55" s="35"/>
      <c r="O55" s="36"/>
      <c r="P55" s="16"/>
    </row>
    <row r="56" spans="1:16" ht="24" customHeight="1" x14ac:dyDescent="0.3">
      <c r="A56" s="13"/>
      <c r="B56" s="98" t="s">
        <v>59</v>
      </c>
      <c r="C56" s="99" t="s">
        <v>42</v>
      </c>
      <c r="D56" s="96">
        <v>798.93</v>
      </c>
      <c r="E56" s="101" t="s">
        <v>184</v>
      </c>
      <c r="F56" s="96">
        <f>10%*D56</f>
        <v>79.893000000000001</v>
      </c>
      <c r="G56" s="97">
        <v>0</v>
      </c>
      <c r="H56" s="96">
        <f t="shared" si="16"/>
        <v>79.893000000000001</v>
      </c>
      <c r="I56" s="97">
        <v>0</v>
      </c>
      <c r="J56" s="97"/>
      <c r="K56" s="97">
        <v>0</v>
      </c>
      <c r="L56" s="97">
        <v>0</v>
      </c>
      <c r="M56" s="97">
        <f t="shared" si="17"/>
        <v>0</v>
      </c>
      <c r="N56" s="35"/>
      <c r="O56" s="36"/>
      <c r="P56" s="16"/>
    </row>
    <row r="57" spans="1:16" ht="28.5" customHeight="1" x14ac:dyDescent="0.3">
      <c r="A57" s="13"/>
      <c r="B57" s="98" t="s">
        <v>60</v>
      </c>
      <c r="C57" s="99" t="s">
        <v>21</v>
      </c>
      <c r="D57" s="96">
        <v>1086.55</v>
      </c>
      <c r="E57" s="101" t="s">
        <v>186</v>
      </c>
      <c r="F57" s="96">
        <f>16%*D57</f>
        <v>173.84799999999998</v>
      </c>
      <c r="G57" s="97">
        <v>0</v>
      </c>
      <c r="H57" s="96">
        <f t="shared" si="16"/>
        <v>173.84799999999998</v>
      </c>
      <c r="I57" s="97">
        <v>0</v>
      </c>
      <c r="J57" s="97">
        <v>10</v>
      </c>
      <c r="K57" s="97">
        <v>5</v>
      </c>
      <c r="L57" s="97">
        <v>0</v>
      </c>
      <c r="M57" s="97">
        <f t="shared" si="17"/>
        <v>15</v>
      </c>
      <c r="N57" s="35"/>
      <c r="O57" s="36"/>
      <c r="P57" s="16"/>
    </row>
    <row r="58" spans="1:16" ht="28.5" customHeight="1" x14ac:dyDescent="0.3">
      <c r="A58" s="13"/>
      <c r="B58" s="98"/>
      <c r="C58" s="99"/>
      <c r="D58" s="96"/>
      <c r="E58" s="100" t="s">
        <v>185</v>
      </c>
      <c r="F58" s="96">
        <v>65</v>
      </c>
      <c r="G58" s="97">
        <v>0</v>
      </c>
      <c r="H58" s="96">
        <f t="shared" si="16"/>
        <v>65</v>
      </c>
      <c r="I58" s="97">
        <v>0</v>
      </c>
      <c r="J58" s="97"/>
      <c r="K58" s="97">
        <v>0</v>
      </c>
      <c r="L58" s="97">
        <v>0</v>
      </c>
      <c r="M58" s="97">
        <f t="shared" si="17"/>
        <v>0</v>
      </c>
      <c r="N58" s="35"/>
      <c r="O58" s="36"/>
      <c r="P58" s="16"/>
    </row>
    <row r="59" spans="1:16" ht="24.75" customHeight="1" x14ac:dyDescent="0.3">
      <c r="A59" s="16"/>
      <c r="B59" s="98" t="s">
        <v>61</v>
      </c>
      <c r="C59" s="99" t="s">
        <v>22</v>
      </c>
      <c r="D59" s="96">
        <v>1084.55</v>
      </c>
      <c r="E59" s="101" t="s">
        <v>184</v>
      </c>
      <c r="F59" s="96">
        <f>10%*D59</f>
        <v>108.455</v>
      </c>
      <c r="G59" s="97">
        <v>0</v>
      </c>
      <c r="H59" s="96">
        <f t="shared" si="16"/>
        <v>108.455</v>
      </c>
      <c r="I59" s="97">
        <v>0</v>
      </c>
      <c r="J59" s="97">
        <v>5</v>
      </c>
      <c r="K59" s="97">
        <v>3</v>
      </c>
      <c r="L59" s="97">
        <v>0</v>
      </c>
      <c r="M59" s="97">
        <f t="shared" si="17"/>
        <v>8</v>
      </c>
      <c r="N59" s="35"/>
      <c r="O59" s="36"/>
      <c r="P59" s="16"/>
    </row>
    <row r="60" spans="1:16" ht="14.25" customHeight="1" x14ac:dyDescent="0.3">
      <c r="A60" s="87"/>
      <c r="B60" s="55" t="s">
        <v>62</v>
      </c>
      <c r="C60" s="56" t="s">
        <v>43</v>
      </c>
      <c r="D60" s="57">
        <v>33</v>
      </c>
      <c r="E60" s="100" t="s">
        <v>185</v>
      </c>
      <c r="F60" s="26">
        <f>10%*D60</f>
        <v>3.3000000000000003</v>
      </c>
      <c r="G60" s="19">
        <v>0</v>
      </c>
      <c r="H60" s="26">
        <f t="shared" si="16"/>
        <v>3.3000000000000003</v>
      </c>
      <c r="I60" s="19">
        <v>0</v>
      </c>
      <c r="J60" s="19">
        <v>2</v>
      </c>
      <c r="K60" s="19">
        <v>0</v>
      </c>
      <c r="L60" s="19">
        <v>0</v>
      </c>
      <c r="M60" s="19">
        <f t="shared" si="17"/>
        <v>2</v>
      </c>
      <c r="N60" s="80"/>
      <c r="O60" s="81"/>
      <c r="P60" s="87"/>
    </row>
    <row r="61" spans="1:16" ht="14.25" customHeight="1" x14ac:dyDescent="0.3">
      <c r="A61" s="75"/>
      <c r="B61" s="71"/>
      <c r="C61" s="72"/>
      <c r="D61" s="73">
        <f>SUM(D54:D60)</f>
        <v>3448.0299999999997</v>
      </c>
      <c r="E61" s="74"/>
      <c r="F61" s="73">
        <f t="shared" ref="F61:K61" si="18">SUM(F54:F60)</f>
        <v>474.99599999999998</v>
      </c>
      <c r="G61" s="83">
        <f t="shared" si="18"/>
        <v>0</v>
      </c>
      <c r="H61" s="73">
        <f t="shared" si="18"/>
        <v>474.99599999999998</v>
      </c>
      <c r="I61" s="83">
        <f t="shared" si="18"/>
        <v>0</v>
      </c>
      <c r="J61" s="83">
        <f t="shared" si="18"/>
        <v>17</v>
      </c>
      <c r="K61" s="83">
        <f t="shared" si="18"/>
        <v>8</v>
      </c>
      <c r="L61" s="83"/>
      <c r="M61" s="83">
        <f>SUM(M54:M60)</f>
        <v>25</v>
      </c>
      <c r="N61" s="76"/>
      <c r="O61" s="77"/>
      <c r="P61" s="75"/>
    </row>
    <row r="62" spans="1:16" ht="14.25" customHeight="1" x14ac:dyDescent="0.3">
      <c r="A62" s="63">
        <v>5</v>
      </c>
      <c r="B62" s="64" t="s">
        <v>96</v>
      </c>
      <c r="C62" s="65"/>
      <c r="D62" s="66"/>
      <c r="E62" s="67"/>
      <c r="F62" s="66"/>
      <c r="G62" s="82"/>
      <c r="H62" s="66"/>
      <c r="I62" s="82"/>
      <c r="J62" s="82"/>
      <c r="K62" s="82"/>
      <c r="L62" s="82"/>
      <c r="M62" s="82"/>
      <c r="N62" s="69"/>
      <c r="O62" s="70"/>
      <c r="P62" s="68"/>
    </row>
    <row r="63" spans="1:16" ht="14.25" customHeight="1" x14ac:dyDescent="0.3">
      <c r="A63" s="16"/>
      <c r="B63" s="14" t="s">
        <v>57</v>
      </c>
      <c r="C63" s="15" t="s">
        <v>22</v>
      </c>
      <c r="D63" s="26">
        <v>9.5</v>
      </c>
      <c r="E63" s="47" t="s">
        <v>163</v>
      </c>
      <c r="F63" s="26">
        <f>10%*D63</f>
        <v>0.95000000000000007</v>
      </c>
      <c r="G63" s="19">
        <v>0</v>
      </c>
      <c r="H63" s="26">
        <f t="shared" ref="H63:H71" si="19">SUM(F63:G63)</f>
        <v>0.95000000000000007</v>
      </c>
      <c r="I63" s="19">
        <v>0</v>
      </c>
      <c r="J63" s="19"/>
      <c r="K63" s="19">
        <v>0</v>
      </c>
      <c r="L63" s="19">
        <v>0</v>
      </c>
      <c r="M63" s="19">
        <f>SUM(I63:L63)</f>
        <v>0</v>
      </c>
      <c r="N63" s="35"/>
      <c r="O63" s="36" t="s">
        <v>136</v>
      </c>
      <c r="P63" s="16"/>
    </row>
    <row r="64" spans="1:16" ht="14.25" customHeight="1" x14ac:dyDescent="0.3">
      <c r="A64" s="16"/>
      <c r="B64" s="14" t="s">
        <v>58</v>
      </c>
      <c r="C64" s="15" t="s">
        <v>21</v>
      </c>
      <c r="D64" s="26">
        <v>17.11</v>
      </c>
      <c r="E64" s="47" t="s">
        <v>164</v>
      </c>
      <c r="F64" s="26">
        <f>10%*D64</f>
        <v>1.7110000000000001</v>
      </c>
      <c r="G64" s="19">
        <v>0</v>
      </c>
      <c r="H64" s="26">
        <f t="shared" si="19"/>
        <v>1.7110000000000001</v>
      </c>
      <c r="I64" s="19">
        <v>0</v>
      </c>
      <c r="J64" s="19">
        <v>1</v>
      </c>
      <c r="K64" s="19">
        <v>0</v>
      </c>
      <c r="L64" s="19">
        <v>0</v>
      </c>
      <c r="M64" s="19">
        <f t="shared" ref="M64:M71" si="20">SUM(I64:L64)</f>
        <v>1</v>
      </c>
      <c r="N64" s="35"/>
      <c r="O64" s="36" t="s">
        <v>50</v>
      </c>
      <c r="P64" s="16"/>
    </row>
    <row r="65" spans="1:16" ht="30.75" customHeight="1" x14ac:dyDescent="0.3">
      <c r="A65" s="16"/>
      <c r="B65" s="14"/>
      <c r="C65" s="15"/>
      <c r="D65" s="26"/>
      <c r="E65" s="49" t="s">
        <v>187</v>
      </c>
      <c r="F65" s="96">
        <v>1</v>
      </c>
      <c r="G65" s="97">
        <v>0</v>
      </c>
      <c r="H65" s="96">
        <f t="shared" si="19"/>
        <v>1</v>
      </c>
      <c r="I65" s="97">
        <v>0</v>
      </c>
      <c r="J65" s="97">
        <v>1</v>
      </c>
      <c r="K65" s="97">
        <v>0</v>
      </c>
      <c r="L65" s="97">
        <v>0</v>
      </c>
      <c r="M65" s="97">
        <f t="shared" ref="M65" si="21">SUM(I65:L65)</f>
        <v>1</v>
      </c>
      <c r="N65" s="35"/>
      <c r="O65" s="36"/>
      <c r="P65" s="16"/>
    </row>
    <row r="66" spans="1:16" ht="14.25" customHeight="1" x14ac:dyDescent="0.3">
      <c r="A66" s="16"/>
      <c r="B66" s="14" t="s">
        <v>59</v>
      </c>
      <c r="C66" s="15" t="s">
        <v>43</v>
      </c>
      <c r="D66" s="26">
        <v>17.79</v>
      </c>
      <c r="E66" s="47" t="s">
        <v>163</v>
      </c>
      <c r="F66" s="26">
        <f t="shared" ref="F66:F71" si="22">10%*D66</f>
        <v>1.7789999999999999</v>
      </c>
      <c r="G66" s="19">
        <v>0</v>
      </c>
      <c r="H66" s="26">
        <f t="shared" si="19"/>
        <v>1.7789999999999999</v>
      </c>
      <c r="I66" s="19">
        <v>0</v>
      </c>
      <c r="J66" s="19"/>
      <c r="K66" s="19">
        <v>1</v>
      </c>
      <c r="L66" s="19">
        <v>0</v>
      </c>
      <c r="M66" s="19">
        <f t="shared" si="20"/>
        <v>1</v>
      </c>
      <c r="N66" s="35"/>
      <c r="O66" s="36" t="s">
        <v>137</v>
      </c>
      <c r="P66" s="16"/>
    </row>
    <row r="67" spans="1:16" ht="14.25" customHeight="1" x14ac:dyDescent="0.3">
      <c r="A67" s="16"/>
      <c r="B67" s="14" t="s">
        <v>60</v>
      </c>
      <c r="C67" s="15" t="s">
        <v>44</v>
      </c>
      <c r="D67" s="26">
        <v>30.5</v>
      </c>
      <c r="E67" s="47" t="s">
        <v>164</v>
      </c>
      <c r="F67" s="26">
        <f t="shared" si="22"/>
        <v>3.0500000000000003</v>
      </c>
      <c r="G67" s="19">
        <v>0</v>
      </c>
      <c r="H67" s="26">
        <f t="shared" si="19"/>
        <v>3.0500000000000003</v>
      </c>
      <c r="I67" s="19">
        <v>0</v>
      </c>
      <c r="J67" s="19">
        <v>0</v>
      </c>
      <c r="K67" s="19">
        <v>0</v>
      </c>
      <c r="L67" s="19">
        <v>0</v>
      </c>
      <c r="M67" s="19">
        <f t="shared" si="20"/>
        <v>0</v>
      </c>
      <c r="N67" s="35"/>
      <c r="O67" s="36" t="s">
        <v>145</v>
      </c>
      <c r="P67" s="16"/>
    </row>
    <row r="68" spans="1:16" ht="14.25" customHeight="1" x14ac:dyDescent="0.3">
      <c r="A68" s="16"/>
      <c r="B68" s="14" t="s">
        <v>61</v>
      </c>
      <c r="C68" s="15" t="s">
        <v>33</v>
      </c>
      <c r="D68" s="26">
        <v>5.2</v>
      </c>
      <c r="E68" s="47" t="s">
        <v>163</v>
      </c>
      <c r="F68" s="26">
        <f t="shared" si="22"/>
        <v>0.52</v>
      </c>
      <c r="G68" s="19">
        <v>0</v>
      </c>
      <c r="H68" s="26">
        <f t="shared" si="19"/>
        <v>0.52</v>
      </c>
      <c r="I68" s="19">
        <v>0</v>
      </c>
      <c r="J68" s="19">
        <v>0</v>
      </c>
      <c r="K68" s="19">
        <v>0</v>
      </c>
      <c r="L68" s="19">
        <v>0</v>
      </c>
      <c r="M68" s="19">
        <f t="shared" si="20"/>
        <v>0</v>
      </c>
      <c r="N68" s="35"/>
      <c r="O68" s="36" t="s">
        <v>146</v>
      </c>
      <c r="P68" s="16"/>
    </row>
    <row r="69" spans="1:16" ht="14.25" customHeight="1" x14ac:dyDescent="0.3">
      <c r="A69" s="16"/>
      <c r="B69" s="14" t="s">
        <v>62</v>
      </c>
      <c r="C69" s="15" t="s">
        <v>32</v>
      </c>
      <c r="D69" s="26">
        <v>0.25</v>
      </c>
      <c r="E69" s="47" t="s">
        <v>163</v>
      </c>
      <c r="F69" s="26">
        <f t="shared" si="22"/>
        <v>2.5000000000000001E-2</v>
      </c>
      <c r="G69" s="19">
        <v>0</v>
      </c>
      <c r="H69" s="26">
        <f t="shared" si="19"/>
        <v>2.5000000000000001E-2</v>
      </c>
      <c r="I69" s="19">
        <v>0</v>
      </c>
      <c r="J69" s="19">
        <v>0</v>
      </c>
      <c r="K69" s="19">
        <v>0</v>
      </c>
      <c r="L69" s="19">
        <v>0</v>
      </c>
      <c r="M69" s="19">
        <f t="shared" si="20"/>
        <v>0</v>
      </c>
      <c r="N69" s="35"/>
      <c r="O69" s="36"/>
      <c r="P69" s="16"/>
    </row>
    <row r="70" spans="1:16" ht="14.25" customHeight="1" x14ac:dyDescent="0.3">
      <c r="A70" s="16"/>
      <c r="B70" s="14">
        <v>9</v>
      </c>
      <c r="C70" s="15" t="s">
        <v>30</v>
      </c>
      <c r="D70" s="26">
        <v>9.5</v>
      </c>
      <c r="E70" s="47" t="s">
        <v>163</v>
      </c>
      <c r="F70" s="26">
        <f t="shared" si="22"/>
        <v>0.95000000000000007</v>
      </c>
      <c r="G70" s="19">
        <v>0</v>
      </c>
      <c r="H70" s="26">
        <f t="shared" si="19"/>
        <v>0.95000000000000007</v>
      </c>
      <c r="I70" s="19">
        <v>0</v>
      </c>
      <c r="J70" s="19">
        <v>0</v>
      </c>
      <c r="K70" s="19">
        <v>0</v>
      </c>
      <c r="L70" s="19">
        <v>0</v>
      </c>
      <c r="M70" s="19">
        <f t="shared" si="20"/>
        <v>0</v>
      </c>
      <c r="N70" s="35"/>
      <c r="O70" s="36"/>
      <c r="P70" s="16"/>
    </row>
    <row r="71" spans="1:16" ht="14.25" customHeight="1" x14ac:dyDescent="0.3">
      <c r="A71" s="87"/>
      <c r="B71" s="55" t="s">
        <v>64</v>
      </c>
      <c r="C71" s="56" t="s">
        <v>31</v>
      </c>
      <c r="D71" s="57">
        <v>4</v>
      </c>
      <c r="E71" s="85" t="s">
        <v>164</v>
      </c>
      <c r="F71" s="26">
        <f t="shared" si="22"/>
        <v>0.4</v>
      </c>
      <c r="G71" s="19">
        <v>0</v>
      </c>
      <c r="H71" s="26">
        <f t="shared" si="19"/>
        <v>0.4</v>
      </c>
      <c r="I71" s="79">
        <v>0</v>
      </c>
      <c r="J71" s="79">
        <v>0</v>
      </c>
      <c r="K71" s="79">
        <v>0</v>
      </c>
      <c r="L71" s="79">
        <v>0</v>
      </c>
      <c r="M71" s="79">
        <f t="shared" si="20"/>
        <v>0</v>
      </c>
      <c r="N71" s="80"/>
      <c r="O71" s="81"/>
      <c r="P71" s="87"/>
    </row>
    <row r="72" spans="1:16" ht="14.25" customHeight="1" x14ac:dyDescent="0.3">
      <c r="A72" s="75"/>
      <c r="B72" s="71"/>
      <c r="C72" s="72"/>
      <c r="D72" s="73">
        <f>SUM(D63:D71)</f>
        <v>93.850000000000009</v>
      </c>
      <c r="E72" s="74"/>
      <c r="F72" s="73">
        <f t="shared" ref="F72:K72" si="23">SUM(F63:F71)</f>
        <v>10.385</v>
      </c>
      <c r="G72" s="83">
        <f t="shared" si="23"/>
        <v>0</v>
      </c>
      <c r="H72" s="73">
        <f t="shared" si="23"/>
        <v>10.385</v>
      </c>
      <c r="I72" s="83">
        <f t="shared" si="23"/>
        <v>0</v>
      </c>
      <c r="J72" s="83">
        <f t="shared" si="23"/>
        <v>2</v>
      </c>
      <c r="K72" s="83">
        <f t="shared" si="23"/>
        <v>1</v>
      </c>
      <c r="L72" s="83">
        <f>SUM(L49:L55)</f>
        <v>0</v>
      </c>
      <c r="M72" s="83">
        <f>SUM(M63:M71)</f>
        <v>3</v>
      </c>
      <c r="N72" s="76"/>
      <c r="O72" s="77"/>
      <c r="P72" s="75"/>
    </row>
    <row r="73" spans="1:16" ht="14.25" customHeight="1" x14ac:dyDescent="0.3">
      <c r="A73" s="103">
        <v>6</v>
      </c>
      <c r="B73" s="104" t="s">
        <v>116</v>
      </c>
      <c r="C73" s="104"/>
      <c r="D73" s="105"/>
      <c r="E73" s="106"/>
      <c r="F73" s="105"/>
      <c r="G73" s="107"/>
      <c r="H73" s="105"/>
      <c r="I73" s="107"/>
      <c r="J73" s="107"/>
      <c r="K73" s="107"/>
      <c r="L73" s="107"/>
      <c r="M73" s="107"/>
      <c r="N73" s="114"/>
      <c r="O73" s="112"/>
      <c r="P73" s="104"/>
    </row>
    <row r="74" spans="1:16" ht="33" customHeight="1" x14ac:dyDescent="0.3">
      <c r="A74" s="16"/>
      <c r="B74" s="98" t="s">
        <v>57</v>
      </c>
      <c r="C74" s="99" t="s">
        <v>30</v>
      </c>
      <c r="D74" s="96">
        <v>24.5</v>
      </c>
      <c r="E74" s="101" t="s">
        <v>181</v>
      </c>
      <c r="F74" s="96">
        <f>10%*D74</f>
        <v>2.4500000000000002</v>
      </c>
      <c r="G74" s="97">
        <v>0</v>
      </c>
      <c r="H74" s="96">
        <f t="shared" ref="H74:H79" si="24">SUM(F74:G74)</f>
        <v>2.4500000000000002</v>
      </c>
      <c r="I74" s="19">
        <v>0</v>
      </c>
      <c r="J74" s="19">
        <v>2</v>
      </c>
      <c r="K74" s="19">
        <v>0</v>
      </c>
      <c r="L74" s="19">
        <v>0</v>
      </c>
      <c r="M74" s="19">
        <f t="shared" ref="M74" si="25">SUM(I74:L74)</f>
        <v>2</v>
      </c>
      <c r="N74" s="35"/>
      <c r="O74" s="40" t="s">
        <v>191</v>
      </c>
      <c r="P74" s="16"/>
    </row>
    <row r="75" spans="1:16" ht="23.25" customHeight="1" x14ac:dyDescent="0.3">
      <c r="A75" s="16"/>
      <c r="B75" s="98"/>
      <c r="C75" s="99"/>
      <c r="D75" s="96"/>
      <c r="E75" s="100" t="s">
        <v>182</v>
      </c>
      <c r="F75" s="96">
        <v>3</v>
      </c>
      <c r="G75" s="97">
        <v>0</v>
      </c>
      <c r="H75" s="96">
        <f t="shared" si="24"/>
        <v>3</v>
      </c>
      <c r="I75" s="19">
        <v>0</v>
      </c>
      <c r="J75" s="19">
        <v>0</v>
      </c>
      <c r="K75" s="19">
        <v>0</v>
      </c>
      <c r="L75" s="19">
        <v>0</v>
      </c>
      <c r="M75" s="19">
        <f t="shared" ref="M75:M78" si="26">SUM(I75:L75)</f>
        <v>0</v>
      </c>
      <c r="N75" s="35"/>
      <c r="O75" s="36"/>
      <c r="P75" s="16"/>
    </row>
    <row r="76" spans="1:16" ht="14.25" customHeight="1" x14ac:dyDescent="0.3">
      <c r="A76" s="16"/>
      <c r="B76" s="14" t="s">
        <v>58</v>
      </c>
      <c r="C76" s="15" t="s">
        <v>44</v>
      </c>
      <c r="D76" s="26">
        <v>72.03</v>
      </c>
      <c r="E76" s="47" t="s">
        <v>182</v>
      </c>
      <c r="F76" s="26">
        <f>10%*D76</f>
        <v>7.2030000000000003</v>
      </c>
      <c r="G76" s="19">
        <v>0</v>
      </c>
      <c r="H76" s="26">
        <f t="shared" si="24"/>
        <v>7.2030000000000003</v>
      </c>
      <c r="I76" s="19">
        <v>0</v>
      </c>
      <c r="J76" s="19">
        <v>0</v>
      </c>
      <c r="K76" s="19">
        <v>0</v>
      </c>
      <c r="L76" s="19">
        <v>0</v>
      </c>
      <c r="M76" s="19">
        <f t="shared" si="26"/>
        <v>0</v>
      </c>
      <c r="N76" s="35"/>
      <c r="O76" s="36"/>
      <c r="P76" s="16"/>
    </row>
    <row r="77" spans="1:16" ht="25.5" customHeight="1" x14ac:dyDescent="0.3">
      <c r="A77" s="16"/>
      <c r="B77" s="14"/>
      <c r="C77" s="15"/>
      <c r="D77" s="26"/>
      <c r="E77" s="101" t="s">
        <v>181</v>
      </c>
      <c r="F77" s="96">
        <v>3</v>
      </c>
      <c r="G77" s="97">
        <v>0</v>
      </c>
      <c r="H77" s="96">
        <f t="shared" si="24"/>
        <v>3</v>
      </c>
      <c r="I77" s="19">
        <v>0</v>
      </c>
      <c r="J77" s="19">
        <v>0</v>
      </c>
      <c r="K77" s="19">
        <v>0</v>
      </c>
      <c r="L77" s="19">
        <v>0</v>
      </c>
      <c r="M77" s="19">
        <f t="shared" si="26"/>
        <v>0</v>
      </c>
      <c r="N77" s="35"/>
      <c r="O77" s="36"/>
      <c r="P77" s="16"/>
    </row>
    <row r="78" spans="1:16" ht="23.25" customHeight="1" x14ac:dyDescent="0.3">
      <c r="A78" s="16"/>
      <c r="B78" s="14" t="s">
        <v>59</v>
      </c>
      <c r="C78" s="15" t="s">
        <v>33</v>
      </c>
      <c r="D78" s="26">
        <v>14.2</v>
      </c>
      <c r="E78" s="101" t="s">
        <v>181</v>
      </c>
      <c r="F78" s="26">
        <f>10%*D78</f>
        <v>1.42</v>
      </c>
      <c r="G78" s="19">
        <v>0</v>
      </c>
      <c r="H78" s="26">
        <f t="shared" si="24"/>
        <v>1.42</v>
      </c>
      <c r="I78" s="19">
        <v>0</v>
      </c>
      <c r="J78" s="19">
        <v>0</v>
      </c>
      <c r="K78" s="19">
        <v>0</v>
      </c>
      <c r="L78" s="19">
        <v>0</v>
      </c>
      <c r="M78" s="19">
        <f t="shared" si="26"/>
        <v>0</v>
      </c>
      <c r="N78" s="35"/>
      <c r="O78" s="36"/>
      <c r="P78" s="16"/>
    </row>
    <row r="79" spans="1:16" ht="42.75" customHeight="1" x14ac:dyDescent="0.3">
      <c r="A79" s="16"/>
      <c r="B79" s="98" t="s">
        <v>61</v>
      </c>
      <c r="C79" s="99" t="s">
        <v>35</v>
      </c>
      <c r="D79" s="96">
        <v>35.72</v>
      </c>
      <c r="E79" s="101" t="s">
        <v>183</v>
      </c>
      <c r="F79" s="96">
        <f>10%*D79</f>
        <v>3.5720000000000001</v>
      </c>
      <c r="G79" s="97">
        <v>0</v>
      </c>
      <c r="H79" s="96">
        <f t="shared" si="24"/>
        <v>3.5720000000000001</v>
      </c>
      <c r="I79" s="97">
        <v>0</v>
      </c>
      <c r="J79" s="97">
        <v>0</v>
      </c>
      <c r="K79" s="97">
        <v>0</v>
      </c>
      <c r="L79" s="97">
        <v>0</v>
      </c>
      <c r="M79" s="97">
        <f>SUM(K79:L79)</f>
        <v>0</v>
      </c>
      <c r="N79" s="35"/>
      <c r="O79" s="36"/>
      <c r="P79" s="16"/>
    </row>
    <row r="80" spans="1:16" ht="14.25" customHeight="1" x14ac:dyDescent="0.3">
      <c r="A80" s="108"/>
      <c r="B80" s="117"/>
      <c r="C80" s="116"/>
      <c r="D80" s="109"/>
      <c r="E80" s="110"/>
      <c r="F80" s="109"/>
      <c r="G80" s="111"/>
      <c r="H80" s="109"/>
      <c r="I80" s="111">
        <f>SUM(I74:I79)</f>
        <v>0</v>
      </c>
      <c r="J80" s="111"/>
      <c r="K80" s="111"/>
      <c r="L80" s="111">
        <f>SUM(L74:L79)</f>
        <v>0</v>
      </c>
      <c r="M80" s="111">
        <f>SUM(K80:L80)</f>
        <v>0</v>
      </c>
      <c r="N80" s="115"/>
      <c r="O80" s="113"/>
      <c r="P80" s="108"/>
    </row>
    <row r="81" spans="1:16" ht="14.25" customHeight="1" x14ac:dyDescent="0.3">
      <c r="A81" s="75"/>
      <c r="B81" s="71"/>
      <c r="C81" s="72"/>
      <c r="D81" s="73">
        <f>SUM(D74:D80)</f>
        <v>146.44999999999999</v>
      </c>
      <c r="E81" s="74"/>
      <c r="F81" s="73">
        <f>SUM(F74:F80)</f>
        <v>20.645</v>
      </c>
      <c r="G81" s="83">
        <f>SUM(G74:G80)</f>
        <v>0</v>
      </c>
      <c r="H81" s="73">
        <f>SUM(H74:H80)</f>
        <v>20.645</v>
      </c>
      <c r="I81" s="83">
        <v>0</v>
      </c>
      <c r="J81" s="83">
        <f>SUM(J74:J80)</f>
        <v>2</v>
      </c>
      <c r="K81" s="83">
        <v>0</v>
      </c>
      <c r="L81" s="83">
        <v>0</v>
      </c>
      <c r="M81" s="83">
        <f t="shared" ref="M81" si="27">SUM(I81:L81)</f>
        <v>2</v>
      </c>
      <c r="N81" s="76"/>
      <c r="O81" s="77"/>
      <c r="P81" s="75"/>
    </row>
    <row r="82" spans="1:16" ht="8.25" customHeight="1" x14ac:dyDescent="0.3">
      <c r="A82" s="6"/>
      <c r="B82" s="9"/>
      <c r="C82" s="11"/>
      <c r="D82" s="6"/>
      <c r="E82" s="52"/>
      <c r="F82" s="7"/>
      <c r="G82" s="7"/>
      <c r="H82" s="7"/>
      <c r="I82" s="7"/>
      <c r="J82" s="7"/>
      <c r="K82" s="7">
        <f>SUM(K74:K81)</f>
        <v>0</v>
      </c>
      <c r="L82" s="7"/>
      <c r="M82" s="7"/>
      <c r="N82" s="9"/>
      <c r="O82" s="11"/>
      <c r="P82" s="6"/>
    </row>
    <row r="83" spans="1:16" x14ac:dyDescent="0.3">
      <c r="F83" s="2"/>
      <c r="G83" s="2"/>
      <c r="H83" s="2"/>
      <c r="I83" s="2"/>
      <c r="J83" s="2"/>
      <c r="K83" s="2"/>
      <c r="L83" s="2"/>
      <c r="M83" s="2"/>
    </row>
    <row r="84" spans="1:16" x14ac:dyDescent="0.3">
      <c r="F84" s="2"/>
      <c r="G84" s="2"/>
      <c r="H84" s="2"/>
      <c r="I84" s="2"/>
      <c r="J84" s="2" t="s">
        <v>172</v>
      </c>
      <c r="K84" s="2"/>
      <c r="L84" s="2"/>
      <c r="M84" s="2"/>
    </row>
    <row r="85" spans="1:16" x14ac:dyDescent="0.3">
      <c r="A85" s="395" t="s">
        <v>80</v>
      </c>
      <c r="B85" s="395"/>
      <c r="C85" s="395"/>
      <c r="D85" s="395"/>
    </row>
    <row r="86" spans="1:16" x14ac:dyDescent="0.3">
      <c r="A86" s="395" t="s">
        <v>81</v>
      </c>
      <c r="B86" s="395"/>
      <c r="C86" s="395"/>
      <c r="D86" s="395"/>
      <c r="J86" s="1" t="s">
        <v>85</v>
      </c>
    </row>
    <row r="87" spans="1:16" x14ac:dyDescent="0.3">
      <c r="A87" s="395" t="s">
        <v>82</v>
      </c>
      <c r="B87" s="395"/>
      <c r="C87" s="395"/>
      <c r="D87" s="395"/>
      <c r="J87" s="3" t="s">
        <v>86</v>
      </c>
      <c r="K87" s="1" t="s">
        <v>87</v>
      </c>
      <c r="O87" s="1" t="s">
        <v>90</v>
      </c>
    </row>
    <row r="88" spans="1:16" x14ac:dyDescent="0.3">
      <c r="A88" s="395" t="s">
        <v>83</v>
      </c>
      <c r="B88" s="395"/>
      <c r="C88" s="395"/>
      <c r="D88" s="395"/>
      <c r="K88" s="1" t="s">
        <v>91</v>
      </c>
    </row>
    <row r="89" spans="1:16" ht="13.5" customHeight="1" x14ac:dyDescent="0.3"/>
    <row r="90" spans="1:16" ht="13.5" customHeight="1" x14ac:dyDescent="0.3"/>
    <row r="91" spans="1:16" ht="13.5" customHeight="1" x14ac:dyDescent="0.3"/>
    <row r="92" spans="1:16" x14ac:dyDescent="0.3">
      <c r="A92" s="398" t="s">
        <v>84</v>
      </c>
      <c r="B92" s="398"/>
      <c r="C92" s="398"/>
      <c r="D92" s="398"/>
      <c r="J92" s="3" t="s">
        <v>88</v>
      </c>
      <c r="K92" s="1" t="s">
        <v>89</v>
      </c>
      <c r="O92" s="1" t="s">
        <v>90</v>
      </c>
    </row>
    <row r="93" spans="1:16" x14ac:dyDescent="0.3">
      <c r="A93" s="395" t="s">
        <v>169</v>
      </c>
      <c r="B93" s="395"/>
      <c r="C93" s="395"/>
      <c r="D93" s="395"/>
      <c r="K93" s="1" t="s">
        <v>92</v>
      </c>
    </row>
  </sheetData>
  <mergeCells count="17">
    <mergeCell ref="A1:P1"/>
    <mergeCell ref="A6:A7"/>
    <mergeCell ref="B6:C6"/>
    <mergeCell ref="D6:D7"/>
    <mergeCell ref="E6:E7"/>
    <mergeCell ref="F6:H6"/>
    <mergeCell ref="I6:M6"/>
    <mergeCell ref="N6:O7"/>
    <mergeCell ref="P6:P7"/>
    <mergeCell ref="B7:C7"/>
    <mergeCell ref="A93:D93"/>
    <mergeCell ref="O20:O23"/>
    <mergeCell ref="A85:D85"/>
    <mergeCell ref="A86:D86"/>
    <mergeCell ref="A87:D87"/>
    <mergeCell ref="A88:D88"/>
    <mergeCell ref="A92:D92"/>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P94"/>
  <sheetViews>
    <sheetView topLeftCell="A22" workbookViewId="0">
      <selection activeCell="G23" sqref="G23"/>
    </sheetView>
  </sheetViews>
  <sheetFormatPr defaultColWidth="9.1796875" defaultRowHeight="14" x14ac:dyDescent="0.3"/>
  <cols>
    <col min="1" max="1" width="9" style="1" customWidth="1"/>
    <col min="2" max="2" width="2.1796875" style="1" customWidth="1"/>
    <col min="3" max="3" width="17.7265625" style="1" customWidth="1"/>
    <col min="4" max="4" width="11.54296875" style="1" customWidth="1"/>
    <col min="5" max="5" width="27" style="1" customWidth="1"/>
    <col min="6" max="6" width="9" style="1" bestFit="1" customWidth="1"/>
    <col min="7" max="7" width="8.81640625" style="1" customWidth="1"/>
    <col min="8" max="8" width="9" style="1" customWidth="1"/>
    <col min="9" max="9" width="6.453125" style="1" bestFit="1" customWidth="1"/>
    <col min="10" max="10" width="6.81640625" style="1" bestFit="1" customWidth="1"/>
    <col min="11" max="11" width="10" style="1" bestFit="1" customWidth="1"/>
    <col min="12" max="12" width="5.54296875" style="1" bestFit="1" customWidth="1"/>
    <col min="13" max="13" width="6.81640625" style="1" bestFit="1" customWidth="1"/>
    <col min="14" max="14" width="2.1796875" style="1" customWidth="1"/>
    <col min="15" max="15" width="29.7265625" style="1" customWidth="1"/>
    <col min="16" max="16" width="10.26953125" style="1" customWidth="1"/>
    <col min="17" max="16384" width="9.1796875" style="1"/>
  </cols>
  <sheetData>
    <row r="1" spans="1:16" x14ac:dyDescent="0.3">
      <c r="A1" s="385" t="s">
        <v>177</v>
      </c>
      <c r="B1" s="385"/>
      <c r="C1" s="385"/>
      <c r="D1" s="385"/>
      <c r="E1" s="385"/>
      <c r="F1" s="385"/>
      <c r="G1" s="385"/>
      <c r="H1" s="385"/>
      <c r="I1" s="385"/>
      <c r="J1" s="385"/>
      <c r="K1" s="385"/>
      <c r="L1" s="385"/>
      <c r="M1" s="385"/>
      <c r="N1" s="385"/>
      <c r="O1" s="385"/>
      <c r="P1" s="385"/>
    </row>
    <row r="2" spans="1:16" ht="14.25" customHeight="1" x14ac:dyDescent="0.3"/>
    <row r="3" spans="1:16" ht="14.25" customHeight="1" x14ac:dyDescent="0.3">
      <c r="A3" s="1" t="s">
        <v>1</v>
      </c>
      <c r="B3" s="1" t="s">
        <v>78</v>
      </c>
      <c r="C3" s="1" t="s">
        <v>77</v>
      </c>
    </row>
    <row r="4" spans="1:16" ht="14.25" customHeight="1" x14ac:dyDescent="0.3">
      <c r="A4" s="1" t="s">
        <v>2</v>
      </c>
      <c r="B4" s="1" t="s">
        <v>78</v>
      </c>
      <c r="C4" s="4" t="s">
        <v>173</v>
      </c>
    </row>
    <row r="6" spans="1:16" x14ac:dyDescent="0.3">
      <c r="A6" s="386" t="s">
        <v>3</v>
      </c>
      <c r="B6" s="388" t="s">
        <v>4</v>
      </c>
      <c r="C6" s="388"/>
      <c r="D6" s="389" t="s">
        <v>6</v>
      </c>
      <c r="E6" s="391" t="s">
        <v>7</v>
      </c>
      <c r="F6" s="393" t="s">
        <v>170</v>
      </c>
      <c r="G6" s="393"/>
      <c r="H6" s="393"/>
      <c r="I6" s="393" t="s">
        <v>12</v>
      </c>
      <c r="J6" s="393"/>
      <c r="K6" s="393"/>
      <c r="L6" s="393"/>
      <c r="M6" s="393"/>
      <c r="N6" s="391" t="s">
        <v>17</v>
      </c>
      <c r="O6" s="391"/>
      <c r="P6" s="386" t="s">
        <v>192</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ht="14.25" customHeight="1" x14ac:dyDescent="0.3">
      <c r="A9" s="13">
        <v>1</v>
      </c>
      <c r="B9" s="14" t="s">
        <v>20</v>
      </c>
      <c r="C9" s="15"/>
      <c r="D9" s="16"/>
      <c r="E9" s="47"/>
      <c r="F9" s="16"/>
      <c r="G9" s="16"/>
      <c r="H9" s="16"/>
      <c r="I9" s="16"/>
      <c r="J9" s="16"/>
      <c r="K9" s="16"/>
      <c r="L9" s="16"/>
      <c r="M9" s="16"/>
      <c r="N9" s="35"/>
      <c r="O9" s="36"/>
      <c r="P9" s="16"/>
    </row>
    <row r="10" spans="1:16" ht="14.25" customHeight="1" x14ac:dyDescent="0.3">
      <c r="A10" s="13"/>
      <c r="B10" s="17" t="s">
        <v>57</v>
      </c>
      <c r="C10" s="15" t="s">
        <v>21</v>
      </c>
      <c r="D10" s="18">
        <v>403.56</v>
      </c>
      <c r="E10" s="47" t="s">
        <v>36</v>
      </c>
      <c r="F10" s="26">
        <f>4%*D10</f>
        <v>16.142400000000002</v>
      </c>
      <c r="G10" s="26">
        <f>5%*D10</f>
        <v>20.178000000000001</v>
      </c>
      <c r="H10" s="26">
        <f>SUM(F10:G10)</f>
        <v>36.320400000000006</v>
      </c>
      <c r="I10" s="19">
        <v>0</v>
      </c>
      <c r="J10" s="19"/>
      <c r="K10" s="19">
        <v>10</v>
      </c>
      <c r="L10" s="19"/>
      <c r="M10" s="20">
        <f>SUM(I10:L10)</f>
        <v>10</v>
      </c>
      <c r="N10" s="37"/>
      <c r="O10" s="36"/>
      <c r="P10" s="16"/>
    </row>
    <row r="11" spans="1:16" ht="14.25" customHeight="1" x14ac:dyDescent="0.3">
      <c r="A11" s="13"/>
      <c r="B11" s="14"/>
      <c r="C11" s="15"/>
      <c r="D11" s="18"/>
      <c r="E11" s="47" t="s">
        <v>37</v>
      </c>
      <c r="F11" s="26">
        <v>4</v>
      </c>
      <c r="G11" s="26">
        <f>5%*D11</f>
        <v>0</v>
      </c>
      <c r="H11" s="26">
        <f>SUM(F11:G11)</f>
        <v>4</v>
      </c>
      <c r="I11" s="19">
        <v>0</v>
      </c>
      <c r="J11" s="19">
        <v>0</v>
      </c>
      <c r="K11" s="19">
        <v>5</v>
      </c>
      <c r="L11" s="19">
        <v>0</v>
      </c>
      <c r="M11" s="20">
        <f t="shared" ref="M11:M17" si="0">SUM(I11:L11)</f>
        <v>5</v>
      </c>
      <c r="N11" s="37" t="s">
        <v>51</v>
      </c>
      <c r="O11" s="38" t="s">
        <v>50</v>
      </c>
      <c r="P11" s="16"/>
    </row>
    <row r="12" spans="1:16" ht="14.25" customHeight="1" x14ac:dyDescent="0.3">
      <c r="A12" s="13"/>
      <c r="B12" s="14"/>
      <c r="C12" s="15"/>
      <c r="D12" s="18"/>
      <c r="E12" s="47" t="s">
        <v>38</v>
      </c>
      <c r="F12" s="26">
        <v>5</v>
      </c>
      <c r="G12" s="26">
        <f>5%*D12</f>
        <v>0</v>
      </c>
      <c r="H12" s="26">
        <f>SUM(F12:G12)</f>
        <v>5</v>
      </c>
      <c r="I12" s="19">
        <v>0</v>
      </c>
      <c r="J12" s="19"/>
      <c r="K12" s="19">
        <v>10</v>
      </c>
      <c r="L12" s="19">
        <v>0</v>
      </c>
      <c r="M12" s="20">
        <f t="shared" si="0"/>
        <v>10</v>
      </c>
      <c r="N12" s="37" t="s">
        <v>51</v>
      </c>
      <c r="O12" s="36" t="s">
        <v>49</v>
      </c>
      <c r="P12" s="16"/>
    </row>
    <row r="13" spans="1:16" ht="14.25" customHeight="1" x14ac:dyDescent="0.3">
      <c r="A13" s="13"/>
      <c r="B13" s="14"/>
      <c r="C13" s="15"/>
      <c r="D13" s="18"/>
      <c r="E13" s="48" t="s">
        <v>39</v>
      </c>
      <c r="F13" s="26">
        <v>15</v>
      </c>
      <c r="G13" s="26">
        <f>5%*D13</f>
        <v>0</v>
      </c>
      <c r="H13" s="26">
        <f>SUM(F13:G13)</f>
        <v>15</v>
      </c>
      <c r="I13" s="22">
        <v>0</v>
      </c>
      <c r="J13" s="22">
        <v>0</v>
      </c>
      <c r="K13" s="22">
        <v>0</v>
      </c>
      <c r="L13" s="22">
        <v>0</v>
      </c>
      <c r="M13" s="23">
        <f t="shared" si="0"/>
        <v>0</v>
      </c>
      <c r="N13" s="39" t="s">
        <v>51</v>
      </c>
      <c r="O13" s="40" t="s">
        <v>48</v>
      </c>
      <c r="P13" s="16"/>
    </row>
    <row r="14" spans="1:16" ht="14.25" customHeight="1" x14ac:dyDescent="0.3">
      <c r="A14" s="13"/>
      <c r="B14" s="17" t="s">
        <v>58</v>
      </c>
      <c r="C14" s="15" t="s">
        <v>22</v>
      </c>
      <c r="D14" s="18">
        <v>728.56</v>
      </c>
      <c r="E14" s="47" t="s">
        <v>36</v>
      </c>
      <c r="F14" s="26">
        <f>9%*D14</f>
        <v>65.570399999999992</v>
      </c>
      <c r="G14" s="26">
        <f>5%*D14</f>
        <v>36.427999999999997</v>
      </c>
      <c r="H14" s="26">
        <f>SUM(F14:G14)</f>
        <v>101.99839999999999</v>
      </c>
      <c r="I14" s="19">
        <v>0</v>
      </c>
      <c r="J14" s="19">
        <v>8</v>
      </c>
      <c r="K14" s="19">
        <v>5</v>
      </c>
      <c r="L14" s="19">
        <v>0</v>
      </c>
      <c r="M14" s="20">
        <f t="shared" si="0"/>
        <v>13</v>
      </c>
      <c r="N14" s="35"/>
      <c r="O14" s="41"/>
      <c r="P14" s="16"/>
    </row>
    <row r="15" spans="1:16" ht="14.25" customHeight="1" x14ac:dyDescent="0.3">
      <c r="A15" s="13"/>
      <c r="B15" s="14"/>
      <c r="C15" s="15"/>
      <c r="D15" s="26"/>
      <c r="E15" s="47" t="s">
        <v>37</v>
      </c>
      <c r="F15" s="26">
        <v>8</v>
      </c>
      <c r="G15" s="26">
        <v>300</v>
      </c>
      <c r="H15" s="26">
        <f t="shared" ref="H15:H17" si="1">SUM(F15:G15)</f>
        <v>308</v>
      </c>
      <c r="I15" s="19">
        <v>0</v>
      </c>
      <c r="J15" s="19">
        <v>0</v>
      </c>
      <c r="K15" s="19">
        <v>8</v>
      </c>
      <c r="L15" s="19">
        <v>0</v>
      </c>
      <c r="M15" s="20">
        <f t="shared" si="0"/>
        <v>8</v>
      </c>
      <c r="N15" s="35"/>
      <c r="O15" s="36"/>
      <c r="P15" s="16"/>
    </row>
    <row r="16" spans="1:16" ht="14.25" customHeight="1" x14ac:dyDescent="0.3">
      <c r="A16" s="13"/>
      <c r="B16" s="14"/>
      <c r="C16" s="15"/>
      <c r="D16" s="26"/>
      <c r="E16" s="47" t="s">
        <v>38</v>
      </c>
      <c r="F16" s="26">
        <v>100</v>
      </c>
      <c r="G16" s="26">
        <v>375</v>
      </c>
      <c r="H16" s="26">
        <f t="shared" si="1"/>
        <v>475</v>
      </c>
      <c r="I16" s="19">
        <v>0</v>
      </c>
      <c r="J16" s="19">
        <v>0</v>
      </c>
      <c r="K16" s="19">
        <v>0</v>
      </c>
      <c r="L16" s="19">
        <v>0</v>
      </c>
      <c r="M16" s="20">
        <f t="shared" si="0"/>
        <v>0</v>
      </c>
      <c r="N16" s="35"/>
      <c r="O16" s="36"/>
      <c r="P16" s="16"/>
    </row>
    <row r="17" spans="1:16" ht="14.25" customHeight="1" x14ac:dyDescent="0.3">
      <c r="A17" s="54"/>
      <c r="B17" s="55"/>
      <c r="C17" s="56"/>
      <c r="D17" s="57"/>
      <c r="E17" s="58" t="s">
        <v>39</v>
      </c>
      <c r="F17" s="119">
        <v>45</v>
      </c>
      <c r="G17" s="119">
        <v>0</v>
      </c>
      <c r="H17" s="119">
        <f t="shared" si="1"/>
        <v>45</v>
      </c>
      <c r="I17" s="59">
        <v>0</v>
      </c>
      <c r="J17" s="59">
        <v>0</v>
      </c>
      <c r="K17" s="59">
        <v>0</v>
      </c>
      <c r="L17" s="59">
        <v>0</v>
      </c>
      <c r="M17" s="60">
        <f t="shared" si="0"/>
        <v>0</v>
      </c>
      <c r="N17" s="61"/>
      <c r="O17" s="62"/>
      <c r="P17" s="88"/>
    </row>
    <row r="18" spans="1:16" ht="14.25" customHeight="1" x14ac:dyDescent="0.3">
      <c r="A18" s="89"/>
      <c r="B18" s="71"/>
      <c r="C18" s="72"/>
      <c r="D18" s="73">
        <f>SUM(D9:D17)</f>
        <v>1132.1199999999999</v>
      </c>
      <c r="E18" s="74"/>
      <c r="F18" s="118">
        <f>SUM(F9:F17)</f>
        <v>258.71280000000002</v>
      </c>
      <c r="G18" s="118">
        <f>SUM(G9:G17)</f>
        <v>731.60599999999999</v>
      </c>
      <c r="H18" s="118">
        <f>SUM(H9:H17)</f>
        <v>990.31880000000001</v>
      </c>
      <c r="I18" s="75">
        <f>SUM(I9:I17)</f>
        <v>0</v>
      </c>
      <c r="J18" s="75">
        <f>SUM(J9:J17)</f>
        <v>8</v>
      </c>
      <c r="K18" s="75">
        <f>SUM(K8:K17)</f>
        <v>38</v>
      </c>
      <c r="L18" s="75"/>
      <c r="M18" s="75">
        <f>SUM(M9:M17)</f>
        <v>46</v>
      </c>
      <c r="N18" s="76"/>
      <c r="O18" s="77"/>
      <c r="P18" s="75"/>
    </row>
    <row r="19" spans="1:16" ht="14.25" customHeight="1" x14ac:dyDescent="0.3">
      <c r="A19" s="63">
        <v>2</v>
      </c>
      <c r="B19" s="64" t="s">
        <v>23</v>
      </c>
      <c r="C19" s="65"/>
      <c r="D19" s="66"/>
      <c r="E19" s="67"/>
      <c r="F19" s="68"/>
      <c r="G19" s="68"/>
      <c r="H19" s="68"/>
      <c r="I19" s="68"/>
      <c r="J19" s="68"/>
      <c r="K19" s="68"/>
      <c r="L19" s="68"/>
      <c r="M19" s="68"/>
      <c r="N19" s="69"/>
      <c r="O19" s="70"/>
      <c r="P19" s="68"/>
    </row>
    <row r="20" spans="1:16" ht="14.25" customHeight="1" x14ac:dyDescent="0.3">
      <c r="A20" s="13"/>
      <c r="B20" s="14" t="s">
        <v>57</v>
      </c>
      <c r="C20" s="15" t="s">
        <v>22</v>
      </c>
      <c r="D20" s="26">
        <v>198</v>
      </c>
      <c r="E20" s="47" t="s">
        <v>40</v>
      </c>
      <c r="F20" s="19">
        <v>0</v>
      </c>
      <c r="G20" s="19">
        <f>15%*D20</f>
        <v>29.7</v>
      </c>
      <c r="H20" s="19">
        <f t="shared" ref="H20" si="2">SUM(F20:G20)</f>
        <v>29.7</v>
      </c>
      <c r="I20" s="19">
        <v>0</v>
      </c>
      <c r="J20" s="19">
        <v>15</v>
      </c>
      <c r="K20" s="19">
        <v>5</v>
      </c>
      <c r="L20" s="19">
        <v>0</v>
      </c>
      <c r="M20" s="20">
        <f t="shared" ref="M20" si="3">SUM(I20:L20)</f>
        <v>20</v>
      </c>
      <c r="N20" s="37" t="s">
        <v>51</v>
      </c>
      <c r="O20" s="399" t="s">
        <v>54</v>
      </c>
      <c r="P20" s="16"/>
    </row>
    <row r="21" spans="1:16" ht="14.25" customHeight="1" x14ac:dyDescent="0.3">
      <c r="A21" s="54"/>
      <c r="B21" s="55"/>
      <c r="C21" s="56"/>
      <c r="D21" s="57"/>
      <c r="E21" s="85"/>
      <c r="F21" s="79"/>
      <c r="G21" s="79"/>
      <c r="H21" s="79"/>
      <c r="I21" s="79"/>
      <c r="J21" s="79"/>
      <c r="K21" s="79"/>
      <c r="L21" s="79"/>
      <c r="M21" s="86"/>
      <c r="N21" s="95"/>
      <c r="O21" s="401"/>
      <c r="P21" s="87"/>
    </row>
    <row r="22" spans="1:16" ht="14.25" customHeight="1" x14ac:dyDescent="0.3">
      <c r="A22" s="54"/>
      <c r="B22" s="55" t="s">
        <v>58</v>
      </c>
      <c r="C22" s="56" t="s">
        <v>42</v>
      </c>
      <c r="D22" s="57">
        <v>55</v>
      </c>
      <c r="E22" s="47" t="s">
        <v>40</v>
      </c>
      <c r="F22" s="19">
        <v>0</v>
      </c>
      <c r="G22" s="19">
        <v>5</v>
      </c>
      <c r="H22" s="19">
        <f t="shared" ref="H22" si="4">SUM(F22:G22)</f>
        <v>5</v>
      </c>
      <c r="I22" s="19">
        <v>0</v>
      </c>
      <c r="J22" s="19">
        <v>1</v>
      </c>
      <c r="K22" s="19">
        <v>2</v>
      </c>
      <c r="L22" s="19">
        <v>0</v>
      </c>
      <c r="M22" s="20">
        <f t="shared" ref="M22" si="5">SUM(I22:L22)</f>
        <v>3</v>
      </c>
      <c r="N22" s="95"/>
      <c r="O22" s="401"/>
      <c r="P22" s="87"/>
    </row>
    <row r="23" spans="1:16" ht="14.25" customHeight="1" x14ac:dyDescent="0.3">
      <c r="A23" s="54"/>
      <c r="B23" s="55"/>
      <c r="C23" s="56"/>
      <c r="D23" s="57"/>
      <c r="E23" s="85"/>
      <c r="F23" s="79"/>
      <c r="G23" s="79"/>
      <c r="H23" s="79"/>
      <c r="I23" s="79"/>
      <c r="J23" s="79"/>
      <c r="K23" s="79"/>
      <c r="L23" s="79"/>
      <c r="M23" s="86"/>
      <c r="N23" s="95"/>
      <c r="O23" s="401"/>
      <c r="P23" s="87"/>
    </row>
    <row r="24" spans="1:16" ht="14.25" customHeight="1" x14ac:dyDescent="0.3">
      <c r="A24" s="89"/>
      <c r="B24" s="71"/>
      <c r="C24" s="72"/>
      <c r="D24" s="73">
        <f>SUM(D19:D23)</f>
        <v>253</v>
      </c>
      <c r="E24" s="74"/>
      <c r="F24" s="83">
        <f t="shared" ref="F24:K24" si="6">SUM(F19:F23)</f>
        <v>0</v>
      </c>
      <c r="G24" s="83">
        <f t="shared" si="6"/>
        <v>34.700000000000003</v>
      </c>
      <c r="H24" s="83">
        <f t="shared" si="6"/>
        <v>34.700000000000003</v>
      </c>
      <c r="I24" s="83">
        <f t="shared" si="6"/>
        <v>0</v>
      </c>
      <c r="J24" s="83">
        <f t="shared" si="6"/>
        <v>16</v>
      </c>
      <c r="K24" s="83">
        <f t="shared" si="6"/>
        <v>7</v>
      </c>
      <c r="L24" s="83"/>
      <c r="M24" s="83">
        <f>SUM(M19:M23)</f>
        <v>23</v>
      </c>
      <c r="N24" s="76"/>
      <c r="O24" s="77"/>
      <c r="P24" s="75"/>
    </row>
    <row r="25" spans="1:16" ht="14.25" customHeight="1" x14ac:dyDescent="0.3">
      <c r="A25" s="63">
        <v>3</v>
      </c>
      <c r="B25" s="64" t="s">
        <v>19</v>
      </c>
      <c r="C25" s="65"/>
      <c r="D25" s="66"/>
      <c r="E25" s="67"/>
      <c r="F25" s="82"/>
      <c r="G25" s="82"/>
      <c r="H25" s="82"/>
      <c r="I25" s="82"/>
      <c r="J25" s="82"/>
      <c r="K25" s="82"/>
      <c r="L25" s="82"/>
      <c r="M25" s="82"/>
      <c r="N25" s="69"/>
      <c r="O25" s="70"/>
      <c r="P25" s="68"/>
    </row>
    <row r="26" spans="1:16" ht="14.25" customHeight="1" x14ac:dyDescent="0.3">
      <c r="A26" s="13"/>
      <c r="B26" s="14" t="s">
        <v>57</v>
      </c>
      <c r="C26" s="15" t="s">
        <v>24</v>
      </c>
      <c r="D26" s="26">
        <f>1372.4+494</f>
        <v>1866.4</v>
      </c>
      <c r="E26" s="50" t="s">
        <v>52</v>
      </c>
      <c r="F26" s="19">
        <v>0</v>
      </c>
      <c r="G26" s="26">
        <f t="shared" ref="G26:G33" si="7">50%*D26</f>
        <v>933.2</v>
      </c>
      <c r="H26" s="26">
        <f>SUM(F26:G26)</f>
        <v>933.2</v>
      </c>
      <c r="I26" s="19">
        <v>0</v>
      </c>
      <c r="J26" s="19">
        <v>5</v>
      </c>
      <c r="K26" s="19">
        <v>0</v>
      </c>
      <c r="L26" s="19">
        <v>0</v>
      </c>
      <c r="M26" s="19">
        <f>SUM(I26:L26)</f>
        <v>5</v>
      </c>
      <c r="N26" s="35"/>
      <c r="O26" s="43" t="s">
        <v>148</v>
      </c>
      <c r="P26" s="16"/>
    </row>
    <row r="27" spans="1:16" ht="14.25" customHeight="1" x14ac:dyDescent="0.3">
      <c r="A27" s="13"/>
      <c r="B27" s="14" t="s">
        <v>58</v>
      </c>
      <c r="C27" s="15" t="s">
        <v>25</v>
      </c>
      <c r="D27" s="26">
        <f>994.7+363.2</f>
        <v>1357.9</v>
      </c>
      <c r="E27" s="50" t="s">
        <v>52</v>
      </c>
      <c r="F27" s="19">
        <v>0</v>
      </c>
      <c r="G27" s="26">
        <f t="shared" si="7"/>
        <v>678.95</v>
      </c>
      <c r="H27" s="26">
        <f t="shared" ref="H27:H52" si="8">SUM(F27:G27)</f>
        <v>678.95</v>
      </c>
      <c r="I27" s="19">
        <v>0</v>
      </c>
      <c r="J27" s="19">
        <v>2</v>
      </c>
      <c r="K27" s="19">
        <v>4</v>
      </c>
      <c r="L27" s="19">
        <v>0</v>
      </c>
      <c r="M27" s="19">
        <f t="shared" ref="M27:M52" si="9">SUM(I27:L27)</f>
        <v>6</v>
      </c>
      <c r="N27" s="35"/>
      <c r="O27" s="43" t="s">
        <v>149</v>
      </c>
      <c r="P27" s="16"/>
    </row>
    <row r="28" spans="1:16" ht="14.25" customHeight="1" x14ac:dyDescent="0.3">
      <c r="A28" s="13"/>
      <c r="B28" s="14" t="s">
        <v>59</v>
      </c>
      <c r="C28" s="15" t="s">
        <v>26</v>
      </c>
      <c r="D28" s="26">
        <f>976.5+338</f>
        <v>1314.5</v>
      </c>
      <c r="E28" s="50" t="s">
        <v>52</v>
      </c>
      <c r="F28" s="19">
        <v>0</v>
      </c>
      <c r="G28" s="26">
        <f t="shared" si="7"/>
        <v>657.25</v>
      </c>
      <c r="H28" s="26">
        <f t="shared" si="8"/>
        <v>657.25</v>
      </c>
      <c r="I28" s="19">
        <v>0</v>
      </c>
      <c r="J28" s="19">
        <v>5</v>
      </c>
      <c r="K28" s="19">
        <v>0</v>
      </c>
      <c r="L28" s="19">
        <v>0</v>
      </c>
      <c r="M28" s="19">
        <f t="shared" si="9"/>
        <v>5</v>
      </c>
      <c r="N28" s="35"/>
      <c r="O28" s="43" t="s">
        <v>150</v>
      </c>
      <c r="P28" s="16"/>
    </row>
    <row r="29" spans="1:16" ht="14.25" customHeight="1" x14ac:dyDescent="0.3">
      <c r="A29" s="13"/>
      <c r="B29" s="14" t="s">
        <v>60</v>
      </c>
      <c r="C29" s="15" t="s">
        <v>55</v>
      </c>
      <c r="D29" s="26">
        <f>291.6+46.93</f>
        <v>338.53000000000003</v>
      </c>
      <c r="E29" s="50" t="s">
        <v>52</v>
      </c>
      <c r="F29" s="19">
        <v>0</v>
      </c>
      <c r="G29" s="26">
        <f t="shared" si="7"/>
        <v>169.26500000000001</v>
      </c>
      <c r="H29" s="26">
        <f t="shared" si="8"/>
        <v>169.26500000000001</v>
      </c>
      <c r="I29" s="19">
        <v>0</v>
      </c>
      <c r="J29" s="19">
        <v>0</v>
      </c>
      <c r="K29" s="19">
        <v>0</v>
      </c>
      <c r="L29" s="19">
        <v>0</v>
      </c>
      <c r="M29" s="19">
        <f t="shared" si="9"/>
        <v>0</v>
      </c>
      <c r="N29" s="35"/>
      <c r="O29" s="43" t="s">
        <v>151</v>
      </c>
      <c r="P29" s="16"/>
    </row>
    <row r="30" spans="1:16" ht="14.25" customHeight="1" x14ac:dyDescent="0.3">
      <c r="A30" s="13"/>
      <c r="B30" s="14" t="s">
        <v>61</v>
      </c>
      <c r="C30" s="15" t="s">
        <v>27</v>
      </c>
      <c r="D30" s="26">
        <f>831.5+161.25</f>
        <v>992.75</v>
      </c>
      <c r="E30" s="50" t="s">
        <v>52</v>
      </c>
      <c r="F30" s="19">
        <v>0</v>
      </c>
      <c r="G30" s="26">
        <f t="shared" si="7"/>
        <v>496.375</v>
      </c>
      <c r="H30" s="26">
        <f t="shared" si="8"/>
        <v>496.375</v>
      </c>
      <c r="I30" s="19">
        <v>0</v>
      </c>
      <c r="J30" s="19">
        <v>0</v>
      </c>
      <c r="K30" s="19">
        <v>0</v>
      </c>
      <c r="L30" s="19">
        <v>0</v>
      </c>
      <c r="M30" s="19">
        <f t="shared" si="9"/>
        <v>0</v>
      </c>
      <c r="N30" s="35"/>
      <c r="O30" s="44" t="s">
        <v>162</v>
      </c>
      <c r="P30" s="16"/>
    </row>
    <row r="31" spans="1:16" ht="14.25" customHeight="1" x14ac:dyDescent="0.3">
      <c r="A31" s="13"/>
      <c r="B31" s="14" t="s">
        <v>62</v>
      </c>
      <c r="C31" s="15" t="s">
        <v>28</v>
      </c>
      <c r="D31" s="26">
        <f>868+618.6</f>
        <v>1486.6</v>
      </c>
      <c r="E31" s="50" t="s">
        <v>52</v>
      </c>
      <c r="F31" s="19">
        <v>0</v>
      </c>
      <c r="G31" s="26">
        <f t="shared" si="7"/>
        <v>743.3</v>
      </c>
      <c r="H31" s="26">
        <f t="shared" si="8"/>
        <v>743.3</v>
      </c>
      <c r="I31" s="19">
        <v>0</v>
      </c>
      <c r="J31" s="19">
        <v>0</v>
      </c>
      <c r="K31" s="19">
        <v>0</v>
      </c>
      <c r="L31" s="19">
        <v>0</v>
      </c>
      <c r="M31" s="19">
        <f t="shared" si="9"/>
        <v>0</v>
      </c>
      <c r="N31" s="35"/>
      <c r="O31" s="43" t="s">
        <v>152</v>
      </c>
      <c r="P31" s="16"/>
    </row>
    <row r="32" spans="1:16" ht="14.25" customHeight="1" x14ac:dyDescent="0.3">
      <c r="A32" s="13"/>
      <c r="B32" s="14" t="s">
        <v>63</v>
      </c>
      <c r="C32" s="15" t="s">
        <v>29</v>
      </c>
      <c r="D32" s="26">
        <f>1546+278.5</f>
        <v>1824.5</v>
      </c>
      <c r="E32" s="50" t="s">
        <v>52</v>
      </c>
      <c r="F32" s="19">
        <v>0</v>
      </c>
      <c r="G32" s="26">
        <f t="shared" si="7"/>
        <v>912.25</v>
      </c>
      <c r="H32" s="26">
        <f t="shared" si="8"/>
        <v>912.25</v>
      </c>
      <c r="I32" s="19">
        <v>0</v>
      </c>
      <c r="J32" s="19">
        <v>0</v>
      </c>
      <c r="K32" s="19">
        <v>0</v>
      </c>
      <c r="L32" s="19">
        <v>0</v>
      </c>
      <c r="M32" s="19">
        <f t="shared" si="9"/>
        <v>0</v>
      </c>
      <c r="N32" s="35"/>
      <c r="O32" s="43" t="s">
        <v>153</v>
      </c>
      <c r="P32" s="16"/>
    </row>
    <row r="33" spans="1:16" ht="14.25" customHeight="1" x14ac:dyDescent="0.3">
      <c r="A33" s="13"/>
      <c r="B33" s="14" t="s">
        <v>64</v>
      </c>
      <c r="C33" s="15" t="s">
        <v>56</v>
      </c>
      <c r="D33" s="26">
        <f>156.4+34.9</f>
        <v>191.3</v>
      </c>
      <c r="E33" s="50" t="s">
        <v>52</v>
      </c>
      <c r="F33" s="19">
        <v>0</v>
      </c>
      <c r="G33" s="26">
        <f t="shared" si="7"/>
        <v>95.65</v>
      </c>
      <c r="H33" s="26">
        <f t="shared" si="8"/>
        <v>95.65</v>
      </c>
      <c r="I33" s="19">
        <v>0</v>
      </c>
      <c r="J33" s="19">
        <v>6</v>
      </c>
      <c r="K33" s="19">
        <v>0</v>
      </c>
      <c r="L33" s="19">
        <v>0</v>
      </c>
      <c r="M33" s="19">
        <f t="shared" si="9"/>
        <v>6</v>
      </c>
      <c r="N33" s="35"/>
      <c r="O33" s="43" t="s">
        <v>154</v>
      </c>
      <c r="P33" s="16"/>
    </row>
    <row r="34" spans="1:16" ht="14.25" customHeight="1" x14ac:dyDescent="0.3">
      <c r="A34" s="13"/>
      <c r="B34" s="14" t="s">
        <v>65</v>
      </c>
      <c r="C34" s="15" t="s">
        <v>30</v>
      </c>
      <c r="D34" s="26">
        <f>1499.7+565.1</f>
        <v>2064.8000000000002</v>
      </c>
      <c r="E34" s="50" t="s">
        <v>52</v>
      </c>
      <c r="F34" s="19">
        <v>0</v>
      </c>
      <c r="G34" s="26">
        <f>30%*D34</f>
        <v>619.44000000000005</v>
      </c>
      <c r="H34" s="26">
        <f t="shared" si="8"/>
        <v>619.44000000000005</v>
      </c>
      <c r="I34" s="19">
        <v>0</v>
      </c>
      <c r="J34" s="19">
        <v>0</v>
      </c>
      <c r="K34" s="19">
        <v>0</v>
      </c>
      <c r="L34" s="19">
        <v>0</v>
      </c>
      <c r="M34" s="19">
        <f t="shared" si="9"/>
        <v>0</v>
      </c>
      <c r="N34" s="35"/>
      <c r="O34" s="43" t="s">
        <v>155</v>
      </c>
      <c r="P34" s="16"/>
    </row>
    <row r="35" spans="1:16" ht="14.25" customHeight="1" x14ac:dyDescent="0.3">
      <c r="A35" s="13"/>
      <c r="B35" s="14" t="s">
        <v>66</v>
      </c>
      <c r="C35" s="15" t="s">
        <v>31</v>
      </c>
      <c r="D35" s="26">
        <f>1207+389</f>
        <v>1596</v>
      </c>
      <c r="E35" s="50" t="s">
        <v>52</v>
      </c>
      <c r="F35" s="19">
        <v>0</v>
      </c>
      <c r="G35" s="26">
        <f>50%*D35</f>
        <v>798</v>
      </c>
      <c r="H35" s="26">
        <f t="shared" si="8"/>
        <v>798</v>
      </c>
      <c r="I35" s="19">
        <v>0</v>
      </c>
      <c r="J35" s="19">
        <v>0</v>
      </c>
      <c r="K35" s="19">
        <v>0</v>
      </c>
      <c r="L35" s="19">
        <v>0</v>
      </c>
      <c r="M35" s="19">
        <f t="shared" si="9"/>
        <v>0</v>
      </c>
      <c r="N35" s="35"/>
      <c r="O35" s="43" t="s">
        <v>156</v>
      </c>
      <c r="P35" s="16"/>
    </row>
    <row r="36" spans="1:16" ht="14.25" customHeight="1" x14ac:dyDescent="0.3">
      <c r="A36" s="13"/>
      <c r="B36" s="14" t="s">
        <v>67</v>
      </c>
      <c r="C36" s="15" t="s">
        <v>32</v>
      </c>
      <c r="D36" s="26">
        <f>998.9+79.5</f>
        <v>1078.4000000000001</v>
      </c>
      <c r="E36" s="50" t="s">
        <v>52</v>
      </c>
      <c r="F36" s="19">
        <v>0</v>
      </c>
      <c r="G36" s="26">
        <f t="shared" ref="G36:G52" si="10">30%*D36</f>
        <v>323.52000000000004</v>
      </c>
      <c r="H36" s="26">
        <f t="shared" si="8"/>
        <v>323.52000000000004</v>
      </c>
      <c r="I36" s="19">
        <v>0</v>
      </c>
      <c r="J36" s="19">
        <v>0</v>
      </c>
      <c r="K36" s="19">
        <v>0</v>
      </c>
      <c r="L36" s="19">
        <v>0</v>
      </c>
      <c r="M36" s="19">
        <f t="shared" si="9"/>
        <v>0</v>
      </c>
      <c r="N36" s="35"/>
      <c r="O36" s="43" t="s">
        <v>157</v>
      </c>
      <c r="P36" s="16"/>
    </row>
    <row r="37" spans="1:16" ht="14.25" customHeight="1" x14ac:dyDescent="0.3">
      <c r="A37" s="13"/>
      <c r="B37" s="14" t="s">
        <v>68</v>
      </c>
      <c r="C37" s="15" t="s">
        <v>33</v>
      </c>
      <c r="D37" s="26">
        <f>1304+57.5</f>
        <v>1361.5</v>
      </c>
      <c r="E37" s="50" t="s">
        <v>52</v>
      </c>
      <c r="F37" s="19">
        <v>0</v>
      </c>
      <c r="G37" s="26">
        <f t="shared" si="10"/>
        <v>408.45</v>
      </c>
      <c r="H37" s="26">
        <f t="shared" si="8"/>
        <v>408.45</v>
      </c>
      <c r="I37" s="19">
        <v>0</v>
      </c>
      <c r="J37" s="19">
        <v>0</v>
      </c>
      <c r="K37" s="19">
        <v>0</v>
      </c>
      <c r="L37" s="19">
        <v>0</v>
      </c>
      <c r="M37" s="19">
        <f t="shared" si="9"/>
        <v>0</v>
      </c>
      <c r="N37" s="35"/>
      <c r="O37" s="43" t="s">
        <v>158</v>
      </c>
      <c r="P37" s="16"/>
    </row>
    <row r="38" spans="1:16" ht="14.25" customHeight="1" x14ac:dyDescent="0.3">
      <c r="A38" s="13"/>
      <c r="B38" s="14" t="s">
        <v>69</v>
      </c>
      <c r="C38" s="15" t="s">
        <v>34</v>
      </c>
      <c r="D38" s="26">
        <f>1784.1+362</f>
        <v>2146.1</v>
      </c>
      <c r="E38" s="50" t="s">
        <v>52</v>
      </c>
      <c r="F38" s="19">
        <v>0</v>
      </c>
      <c r="G38" s="26">
        <f t="shared" si="10"/>
        <v>643.82999999999993</v>
      </c>
      <c r="H38" s="26">
        <f t="shared" si="8"/>
        <v>643.82999999999993</v>
      </c>
      <c r="I38" s="19">
        <v>0</v>
      </c>
      <c r="J38" s="19">
        <v>4</v>
      </c>
      <c r="K38" s="19">
        <v>11</v>
      </c>
      <c r="L38" s="19">
        <v>0</v>
      </c>
      <c r="M38" s="19">
        <f t="shared" si="9"/>
        <v>15</v>
      </c>
      <c r="N38" s="35"/>
      <c r="O38" s="43" t="s">
        <v>159</v>
      </c>
      <c r="P38" s="16"/>
    </row>
    <row r="39" spans="1:16" ht="14.25" customHeight="1" x14ac:dyDescent="0.3">
      <c r="A39" s="13"/>
      <c r="B39" s="14" t="s">
        <v>70</v>
      </c>
      <c r="C39" s="15" t="s">
        <v>35</v>
      </c>
      <c r="D39" s="26">
        <f>1557+181.5</f>
        <v>1738.5</v>
      </c>
      <c r="E39" s="50" t="s">
        <v>52</v>
      </c>
      <c r="F39" s="19">
        <v>0</v>
      </c>
      <c r="G39" s="26">
        <f t="shared" si="10"/>
        <v>521.54999999999995</v>
      </c>
      <c r="H39" s="26">
        <f t="shared" si="8"/>
        <v>521.54999999999995</v>
      </c>
      <c r="I39" s="19">
        <v>0</v>
      </c>
      <c r="J39" s="19">
        <v>0</v>
      </c>
      <c r="K39" s="19">
        <v>0</v>
      </c>
      <c r="L39" s="19">
        <v>0</v>
      </c>
      <c r="M39" s="19">
        <f t="shared" si="9"/>
        <v>0</v>
      </c>
      <c r="N39" s="35"/>
      <c r="O39" s="43" t="s">
        <v>160</v>
      </c>
      <c r="P39" s="16"/>
    </row>
    <row r="40" spans="1:16" ht="14.25" customHeight="1" x14ac:dyDescent="0.3">
      <c r="A40" s="13"/>
      <c r="B40" s="14" t="s">
        <v>71</v>
      </c>
      <c r="C40" s="15" t="s">
        <v>21</v>
      </c>
      <c r="D40" s="26">
        <f>1940+114</f>
        <v>2054</v>
      </c>
      <c r="E40" s="50" t="s">
        <v>52</v>
      </c>
      <c r="F40" s="19">
        <v>0</v>
      </c>
      <c r="G40" s="26">
        <f t="shared" si="10"/>
        <v>616.19999999999993</v>
      </c>
      <c r="H40" s="26">
        <f t="shared" si="8"/>
        <v>616.19999999999993</v>
      </c>
      <c r="I40" s="19">
        <v>0</v>
      </c>
      <c r="J40" s="19">
        <v>0</v>
      </c>
      <c r="K40" s="19">
        <v>0</v>
      </c>
      <c r="L40" s="19">
        <v>0</v>
      </c>
      <c r="M40" s="19">
        <f t="shared" si="9"/>
        <v>0</v>
      </c>
      <c r="N40" s="35"/>
      <c r="O40" s="43" t="s">
        <v>161</v>
      </c>
      <c r="P40" s="16"/>
    </row>
    <row r="41" spans="1:16" ht="14.25" customHeight="1" x14ac:dyDescent="0.3">
      <c r="A41" s="13"/>
      <c r="B41" s="14" t="s">
        <v>72</v>
      </c>
      <c r="C41" s="15" t="s">
        <v>42</v>
      </c>
      <c r="D41" s="26">
        <f>773.1+303.8</f>
        <v>1076.9000000000001</v>
      </c>
      <c r="E41" s="50" t="s">
        <v>52</v>
      </c>
      <c r="F41" s="19">
        <v>0</v>
      </c>
      <c r="G41" s="26">
        <f t="shared" si="10"/>
        <v>323.07</v>
      </c>
      <c r="H41" s="26">
        <f t="shared" si="8"/>
        <v>323.07</v>
      </c>
      <c r="I41" s="19">
        <v>0</v>
      </c>
      <c r="J41" s="19">
        <v>0</v>
      </c>
      <c r="K41" s="19">
        <v>0</v>
      </c>
      <c r="L41" s="19">
        <v>0</v>
      </c>
      <c r="M41" s="19">
        <f t="shared" si="9"/>
        <v>0</v>
      </c>
      <c r="N41" s="35"/>
      <c r="O41" s="36"/>
      <c r="P41" s="16"/>
    </row>
    <row r="42" spans="1:16" ht="14.25" customHeight="1" x14ac:dyDescent="0.3">
      <c r="A42" s="13"/>
      <c r="B42" s="14" t="s">
        <v>73</v>
      </c>
      <c r="C42" s="15" t="s">
        <v>105</v>
      </c>
      <c r="D42" s="26">
        <f>153.8+8.7</f>
        <v>162.5</v>
      </c>
      <c r="E42" s="50" t="s">
        <v>52</v>
      </c>
      <c r="F42" s="19">
        <v>0</v>
      </c>
      <c r="G42" s="26">
        <f t="shared" si="10"/>
        <v>48.75</v>
      </c>
      <c r="H42" s="26">
        <f t="shared" si="8"/>
        <v>48.75</v>
      </c>
      <c r="I42" s="19">
        <v>0</v>
      </c>
      <c r="J42" s="19">
        <v>0</v>
      </c>
      <c r="K42" s="19">
        <v>0</v>
      </c>
      <c r="L42" s="19">
        <v>0</v>
      </c>
      <c r="M42" s="19">
        <f t="shared" si="9"/>
        <v>0</v>
      </c>
      <c r="N42" s="35"/>
      <c r="O42" s="36"/>
      <c r="P42" s="16"/>
    </row>
    <row r="43" spans="1:16" ht="14.25" customHeight="1" x14ac:dyDescent="0.3">
      <c r="A43" s="13"/>
      <c r="B43" s="14" t="s">
        <v>74</v>
      </c>
      <c r="C43" s="15" t="s">
        <v>110</v>
      </c>
      <c r="D43" s="26">
        <f>695+48.2</f>
        <v>743.2</v>
      </c>
      <c r="E43" s="50" t="s">
        <v>52</v>
      </c>
      <c r="F43" s="19">
        <v>0</v>
      </c>
      <c r="G43" s="26">
        <f t="shared" si="10"/>
        <v>222.96</v>
      </c>
      <c r="H43" s="26">
        <f t="shared" si="8"/>
        <v>222.96</v>
      </c>
      <c r="I43" s="19">
        <v>0</v>
      </c>
      <c r="J43" s="19">
        <v>0</v>
      </c>
      <c r="K43" s="19">
        <v>0</v>
      </c>
      <c r="L43" s="19">
        <v>0</v>
      </c>
      <c r="M43" s="19">
        <f t="shared" si="9"/>
        <v>0</v>
      </c>
      <c r="N43" s="35"/>
      <c r="O43" s="36"/>
      <c r="P43" s="16"/>
    </row>
    <row r="44" spans="1:16" ht="14.25" customHeight="1" x14ac:dyDescent="0.3">
      <c r="A44" s="13"/>
      <c r="B44" s="14" t="s">
        <v>75</v>
      </c>
      <c r="C44" s="15" t="s">
        <v>112</v>
      </c>
      <c r="D44" s="26">
        <f>375+14</f>
        <v>389</v>
      </c>
      <c r="E44" s="50" t="s">
        <v>52</v>
      </c>
      <c r="F44" s="19">
        <v>0</v>
      </c>
      <c r="G44" s="26">
        <f t="shared" si="10"/>
        <v>116.69999999999999</v>
      </c>
      <c r="H44" s="26">
        <f t="shared" si="8"/>
        <v>116.69999999999999</v>
      </c>
      <c r="I44" s="19">
        <v>0</v>
      </c>
      <c r="J44" s="19">
        <v>0</v>
      </c>
      <c r="K44" s="19">
        <v>0</v>
      </c>
      <c r="L44" s="19">
        <v>0</v>
      </c>
      <c r="M44" s="19">
        <f t="shared" si="9"/>
        <v>0</v>
      </c>
      <c r="N44" s="35"/>
      <c r="O44" s="36"/>
      <c r="P44" s="16"/>
    </row>
    <row r="45" spans="1:16" ht="14.25" customHeight="1" x14ac:dyDescent="0.3">
      <c r="A45" s="13"/>
      <c r="B45" s="14" t="s">
        <v>104</v>
      </c>
      <c r="C45" s="15" t="s">
        <v>114</v>
      </c>
      <c r="D45" s="26">
        <f>73.5</f>
        <v>73.5</v>
      </c>
      <c r="E45" s="50" t="s">
        <v>52</v>
      </c>
      <c r="F45" s="19">
        <v>0</v>
      </c>
      <c r="G45" s="26">
        <f t="shared" si="10"/>
        <v>22.05</v>
      </c>
      <c r="H45" s="26">
        <f t="shared" si="8"/>
        <v>22.05</v>
      </c>
      <c r="I45" s="19">
        <v>0</v>
      </c>
      <c r="J45" s="19">
        <v>0</v>
      </c>
      <c r="K45" s="19">
        <v>0</v>
      </c>
      <c r="L45" s="19">
        <v>0</v>
      </c>
      <c r="M45" s="19">
        <f t="shared" si="9"/>
        <v>0</v>
      </c>
      <c r="N45" s="35"/>
      <c r="O45" s="36"/>
      <c r="P45" s="16"/>
    </row>
    <row r="46" spans="1:16" ht="14.25" customHeight="1" x14ac:dyDescent="0.3">
      <c r="A46" s="13"/>
      <c r="B46" s="14" t="s">
        <v>106</v>
      </c>
      <c r="C46" s="15" t="s">
        <v>22</v>
      </c>
      <c r="D46" s="26">
        <f>1130+101</f>
        <v>1231</v>
      </c>
      <c r="E46" s="50" t="s">
        <v>52</v>
      </c>
      <c r="F46" s="19">
        <v>0</v>
      </c>
      <c r="G46" s="26">
        <f t="shared" si="10"/>
        <v>369.3</v>
      </c>
      <c r="H46" s="26">
        <f t="shared" si="8"/>
        <v>369.3</v>
      </c>
      <c r="I46" s="19">
        <v>0</v>
      </c>
      <c r="J46" s="19">
        <v>0</v>
      </c>
      <c r="K46" s="19">
        <v>0</v>
      </c>
      <c r="L46" s="19">
        <v>0</v>
      </c>
      <c r="M46" s="19">
        <f t="shared" si="9"/>
        <v>0</v>
      </c>
      <c r="N46" s="35"/>
      <c r="O46" s="36"/>
      <c r="P46" s="16"/>
    </row>
    <row r="47" spans="1:16" ht="14.25" customHeight="1" x14ac:dyDescent="0.3">
      <c r="A47" s="13"/>
      <c r="B47" s="14" t="s">
        <v>108</v>
      </c>
      <c r="C47" s="15" t="s">
        <v>180</v>
      </c>
      <c r="D47" s="26">
        <f>134.8+5</f>
        <v>139.80000000000001</v>
      </c>
      <c r="E47" s="47" t="s">
        <v>45</v>
      </c>
      <c r="F47" s="19">
        <v>0</v>
      </c>
      <c r="G47" s="26">
        <f t="shared" si="10"/>
        <v>41.940000000000005</v>
      </c>
      <c r="H47" s="26">
        <f t="shared" si="8"/>
        <v>41.940000000000005</v>
      </c>
      <c r="I47" s="19">
        <v>0</v>
      </c>
      <c r="J47" s="19">
        <v>0</v>
      </c>
      <c r="K47" s="19">
        <v>0</v>
      </c>
      <c r="L47" s="19">
        <v>0</v>
      </c>
      <c r="M47" s="19">
        <f t="shared" si="9"/>
        <v>0</v>
      </c>
      <c r="N47" s="35"/>
      <c r="O47" s="36"/>
      <c r="P47" s="16"/>
    </row>
    <row r="48" spans="1:16" ht="14.25" customHeight="1" x14ac:dyDescent="0.3">
      <c r="A48" s="13"/>
      <c r="B48" s="14" t="s">
        <v>109</v>
      </c>
      <c r="C48" s="15" t="s">
        <v>43</v>
      </c>
      <c r="D48" s="26">
        <f>1189+216.6</f>
        <v>1405.6</v>
      </c>
      <c r="E48" s="50" t="s">
        <v>52</v>
      </c>
      <c r="F48" s="19">
        <v>0</v>
      </c>
      <c r="G48" s="26">
        <f t="shared" si="10"/>
        <v>421.67999999999995</v>
      </c>
      <c r="H48" s="26">
        <f t="shared" si="8"/>
        <v>421.67999999999995</v>
      </c>
      <c r="I48" s="19">
        <v>0</v>
      </c>
      <c r="J48" s="19">
        <v>0</v>
      </c>
      <c r="K48" s="19">
        <v>0</v>
      </c>
      <c r="L48" s="19">
        <v>0</v>
      </c>
      <c r="M48" s="19">
        <f t="shared" si="9"/>
        <v>0</v>
      </c>
      <c r="N48" s="35"/>
      <c r="O48" s="36"/>
      <c r="P48" s="16"/>
    </row>
    <row r="49" spans="1:16" ht="14.25" customHeight="1" x14ac:dyDescent="0.3">
      <c r="A49" s="13"/>
      <c r="B49" s="55" t="s">
        <v>111</v>
      </c>
      <c r="C49" s="56" t="s">
        <v>44</v>
      </c>
      <c r="D49" s="57">
        <f>1396.6+127</f>
        <v>1523.6</v>
      </c>
      <c r="E49" s="78" t="s">
        <v>52</v>
      </c>
      <c r="F49" s="19">
        <v>0</v>
      </c>
      <c r="G49" s="26">
        <f t="shared" si="10"/>
        <v>457.08</v>
      </c>
      <c r="H49" s="26">
        <f t="shared" si="8"/>
        <v>457.08</v>
      </c>
      <c r="I49" s="19">
        <v>0</v>
      </c>
      <c r="J49" s="19">
        <v>0</v>
      </c>
      <c r="K49" s="19">
        <v>0</v>
      </c>
      <c r="L49" s="19">
        <v>0</v>
      </c>
      <c r="M49" s="19">
        <f t="shared" si="9"/>
        <v>0</v>
      </c>
      <c r="N49" s="35"/>
      <c r="O49" s="36"/>
      <c r="P49" s="16"/>
    </row>
    <row r="50" spans="1:16" ht="14.25" customHeight="1" x14ac:dyDescent="0.3">
      <c r="A50" s="13"/>
      <c r="B50" s="14"/>
      <c r="C50" s="15"/>
      <c r="D50" s="26"/>
      <c r="E50" s="47" t="s">
        <v>45</v>
      </c>
      <c r="F50" s="19">
        <v>0</v>
      </c>
      <c r="G50" s="26">
        <f t="shared" si="10"/>
        <v>0</v>
      </c>
      <c r="H50" s="26">
        <f t="shared" si="8"/>
        <v>0</v>
      </c>
      <c r="I50" s="19">
        <v>0</v>
      </c>
      <c r="J50" s="19">
        <v>0</v>
      </c>
      <c r="K50" s="19">
        <v>0</v>
      </c>
      <c r="L50" s="19">
        <v>0</v>
      </c>
      <c r="M50" s="19">
        <f t="shared" si="9"/>
        <v>0</v>
      </c>
      <c r="N50" s="35"/>
      <c r="O50" s="36"/>
      <c r="P50" s="16"/>
    </row>
    <row r="51" spans="1:16" ht="14.25" customHeight="1" x14ac:dyDescent="0.3">
      <c r="A51" s="13"/>
      <c r="B51" s="14" t="s">
        <v>74</v>
      </c>
      <c r="C51" s="15" t="s">
        <v>43</v>
      </c>
      <c r="D51" s="26">
        <v>1189</v>
      </c>
      <c r="E51" s="50" t="s">
        <v>52</v>
      </c>
      <c r="F51" s="19">
        <v>0</v>
      </c>
      <c r="G51" s="26">
        <f t="shared" si="10"/>
        <v>356.7</v>
      </c>
      <c r="H51" s="26">
        <f t="shared" si="8"/>
        <v>356.7</v>
      </c>
      <c r="I51" s="19">
        <v>0</v>
      </c>
      <c r="J51" s="19">
        <v>0</v>
      </c>
      <c r="K51" s="19">
        <v>0</v>
      </c>
      <c r="L51" s="19">
        <v>0</v>
      </c>
      <c r="M51" s="19">
        <f t="shared" si="9"/>
        <v>0</v>
      </c>
      <c r="N51" s="35"/>
      <c r="O51" s="36"/>
      <c r="P51" s="16"/>
    </row>
    <row r="52" spans="1:16" ht="14.25" customHeight="1" x14ac:dyDescent="0.3">
      <c r="A52" s="54"/>
      <c r="B52" s="55" t="s">
        <v>75</v>
      </c>
      <c r="C52" s="56" t="s">
        <v>44</v>
      </c>
      <c r="D52" s="57">
        <v>1391</v>
      </c>
      <c r="E52" s="78" t="s">
        <v>52</v>
      </c>
      <c r="F52" s="19">
        <v>0</v>
      </c>
      <c r="G52" s="26">
        <f t="shared" si="10"/>
        <v>417.3</v>
      </c>
      <c r="H52" s="26">
        <f t="shared" si="8"/>
        <v>417.3</v>
      </c>
      <c r="I52" s="19">
        <v>0</v>
      </c>
      <c r="J52" s="19">
        <v>3</v>
      </c>
      <c r="K52" s="19">
        <v>2</v>
      </c>
      <c r="L52" s="19">
        <v>0</v>
      </c>
      <c r="M52" s="19">
        <f t="shared" si="9"/>
        <v>5</v>
      </c>
      <c r="N52" s="80"/>
      <c r="O52" s="81"/>
      <c r="P52" s="87"/>
    </row>
    <row r="53" spans="1:16" ht="14.25" customHeight="1" x14ac:dyDescent="0.3">
      <c r="A53" s="89"/>
      <c r="B53" s="71"/>
      <c r="C53" s="72"/>
      <c r="D53" s="84">
        <f>SUM(D26:D52)</f>
        <v>30736.879999999997</v>
      </c>
      <c r="E53" s="74"/>
      <c r="F53" s="83">
        <f t="shared" ref="F53:M53" si="11">SUM(F26:F52)</f>
        <v>0</v>
      </c>
      <c r="G53" s="83">
        <f t="shared" si="11"/>
        <v>11414.76</v>
      </c>
      <c r="H53" s="83">
        <f t="shared" si="11"/>
        <v>11414.76</v>
      </c>
      <c r="I53" s="83">
        <f t="shared" si="11"/>
        <v>0</v>
      </c>
      <c r="J53" s="83">
        <f t="shared" si="11"/>
        <v>25</v>
      </c>
      <c r="K53" s="83">
        <f t="shared" si="11"/>
        <v>17</v>
      </c>
      <c r="L53" s="83">
        <f t="shared" si="11"/>
        <v>0</v>
      </c>
      <c r="M53" s="83">
        <f t="shared" si="11"/>
        <v>42</v>
      </c>
      <c r="N53" s="76"/>
      <c r="O53" s="77"/>
      <c r="P53" s="75"/>
    </row>
    <row r="54" spans="1:16" ht="14.25" customHeight="1" x14ac:dyDescent="0.3">
      <c r="A54" s="63">
        <v>4</v>
      </c>
      <c r="B54" s="64" t="s">
        <v>46</v>
      </c>
      <c r="C54" s="65"/>
      <c r="D54" s="66"/>
      <c r="E54" s="67"/>
      <c r="F54" s="82"/>
      <c r="G54" s="82"/>
      <c r="H54" s="82"/>
      <c r="I54" s="82"/>
      <c r="J54" s="82"/>
      <c r="K54" s="82"/>
      <c r="L54" s="82"/>
      <c r="M54" s="82"/>
      <c r="N54" s="69"/>
      <c r="O54" s="70"/>
      <c r="P54" s="68"/>
    </row>
    <row r="55" spans="1:16" ht="30.75" customHeight="1" x14ac:dyDescent="0.3">
      <c r="A55" s="102"/>
      <c r="B55" s="98" t="s">
        <v>57</v>
      </c>
      <c r="C55" s="99" t="s">
        <v>29</v>
      </c>
      <c r="D55" s="96">
        <v>175</v>
      </c>
      <c r="E55" s="101" t="s">
        <v>184</v>
      </c>
      <c r="F55" s="96">
        <f>10%*D55</f>
        <v>17.5</v>
      </c>
      <c r="G55" s="97">
        <v>0</v>
      </c>
      <c r="H55" s="96">
        <f t="shared" ref="H55:H61" si="12">SUM(F55:G55)</f>
        <v>17.5</v>
      </c>
      <c r="I55" s="97">
        <v>0</v>
      </c>
      <c r="J55" s="97"/>
      <c r="K55" s="97">
        <v>0</v>
      </c>
      <c r="L55" s="97">
        <v>0</v>
      </c>
      <c r="M55" s="97">
        <f t="shared" ref="M55:M61" si="13">SUM(I55:L55)</f>
        <v>0</v>
      </c>
      <c r="N55" s="35"/>
      <c r="O55" s="36" t="s">
        <v>93</v>
      </c>
      <c r="P55" s="16"/>
    </row>
    <row r="56" spans="1:16" ht="14.25" customHeight="1" x14ac:dyDescent="0.3">
      <c r="A56" s="13"/>
      <c r="B56" s="14" t="s">
        <v>58</v>
      </c>
      <c r="C56" s="15" t="s">
        <v>33</v>
      </c>
      <c r="D56" s="26">
        <v>270</v>
      </c>
      <c r="E56" s="47" t="s">
        <v>185</v>
      </c>
      <c r="F56" s="26">
        <f>10%*D56</f>
        <v>27</v>
      </c>
      <c r="G56" s="19">
        <v>0</v>
      </c>
      <c r="H56" s="26">
        <f t="shared" si="12"/>
        <v>27</v>
      </c>
      <c r="I56" s="19">
        <v>0</v>
      </c>
      <c r="J56" s="19"/>
      <c r="K56" s="19">
        <v>0</v>
      </c>
      <c r="L56" s="19">
        <v>0</v>
      </c>
      <c r="M56" s="19">
        <f t="shared" si="13"/>
        <v>0</v>
      </c>
      <c r="N56" s="35"/>
      <c r="O56" s="36"/>
      <c r="P56" s="16"/>
    </row>
    <row r="57" spans="1:16" ht="24" customHeight="1" x14ac:dyDescent="0.3">
      <c r="A57" s="13"/>
      <c r="B57" s="98" t="s">
        <v>59</v>
      </c>
      <c r="C57" s="99" t="s">
        <v>42</v>
      </c>
      <c r="D57" s="96">
        <v>798.93</v>
      </c>
      <c r="E57" s="101" t="s">
        <v>184</v>
      </c>
      <c r="F57" s="96">
        <f>10%*D57</f>
        <v>79.893000000000001</v>
      </c>
      <c r="G57" s="97">
        <v>0</v>
      </c>
      <c r="H57" s="96">
        <f t="shared" si="12"/>
        <v>79.893000000000001</v>
      </c>
      <c r="I57" s="97">
        <v>0</v>
      </c>
      <c r="J57" s="97"/>
      <c r="K57" s="97">
        <v>0</v>
      </c>
      <c r="L57" s="97">
        <v>0</v>
      </c>
      <c r="M57" s="97">
        <f t="shared" si="13"/>
        <v>0</v>
      </c>
      <c r="N57" s="35"/>
      <c r="O57" s="36"/>
      <c r="P57" s="16"/>
    </row>
    <row r="58" spans="1:16" ht="28.5" customHeight="1" x14ac:dyDescent="0.3">
      <c r="A58" s="13"/>
      <c r="B58" s="98" t="s">
        <v>60</v>
      </c>
      <c r="C58" s="99" t="s">
        <v>21</v>
      </c>
      <c r="D58" s="96">
        <v>1086.55</v>
      </c>
      <c r="E58" s="101" t="s">
        <v>186</v>
      </c>
      <c r="F58" s="96">
        <f>16%*D58</f>
        <v>173.84799999999998</v>
      </c>
      <c r="G58" s="97">
        <v>0</v>
      </c>
      <c r="H58" s="96">
        <f t="shared" si="12"/>
        <v>173.84799999999998</v>
      </c>
      <c r="I58" s="97">
        <v>0</v>
      </c>
      <c r="J58" s="97">
        <v>11</v>
      </c>
      <c r="K58" s="97">
        <v>3</v>
      </c>
      <c r="L58" s="97">
        <v>0</v>
      </c>
      <c r="M58" s="97">
        <f t="shared" si="13"/>
        <v>14</v>
      </c>
      <c r="N58" s="35"/>
      <c r="O58" s="36"/>
      <c r="P58" s="16"/>
    </row>
    <row r="59" spans="1:16" ht="28.5" customHeight="1" x14ac:dyDescent="0.3">
      <c r="A59" s="13"/>
      <c r="B59" s="98"/>
      <c r="C59" s="99"/>
      <c r="D59" s="96"/>
      <c r="E59" s="100" t="s">
        <v>185</v>
      </c>
      <c r="F59" s="96">
        <v>65</v>
      </c>
      <c r="G59" s="97">
        <v>0</v>
      </c>
      <c r="H59" s="96">
        <f t="shared" si="12"/>
        <v>65</v>
      </c>
      <c r="I59" s="97">
        <v>0</v>
      </c>
      <c r="J59" s="97"/>
      <c r="K59" s="97">
        <v>0</v>
      </c>
      <c r="L59" s="97">
        <v>0</v>
      </c>
      <c r="M59" s="97">
        <f t="shared" si="13"/>
        <v>0</v>
      </c>
      <c r="N59" s="35"/>
      <c r="O59" s="36"/>
      <c r="P59" s="16"/>
    </row>
    <row r="60" spans="1:16" ht="14.25" customHeight="1" x14ac:dyDescent="0.3">
      <c r="A60" s="16"/>
      <c r="B60" s="14" t="s">
        <v>61</v>
      </c>
      <c r="C60" s="15" t="s">
        <v>22</v>
      </c>
      <c r="D60" s="26">
        <v>1084.55</v>
      </c>
      <c r="E60" s="47" t="s">
        <v>134</v>
      </c>
      <c r="F60" s="26">
        <f>10%*D60</f>
        <v>108.455</v>
      </c>
      <c r="G60" s="19">
        <v>0</v>
      </c>
      <c r="H60" s="26">
        <f t="shared" si="12"/>
        <v>108.455</v>
      </c>
      <c r="I60" s="19">
        <v>0</v>
      </c>
      <c r="J60" s="19">
        <v>4</v>
      </c>
      <c r="K60" s="19">
        <v>3</v>
      </c>
      <c r="L60" s="19">
        <v>0</v>
      </c>
      <c r="M60" s="19">
        <f t="shared" si="13"/>
        <v>7</v>
      </c>
      <c r="N60" s="35"/>
      <c r="O60" s="36"/>
      <c r="P60" s="16"/>
    </row>
    <row r="61" spans="1:16" ht="14.25" customHeight="1" x14ac:dyDescent="0.3">
      <c r="A61" s="87"/>
      <c r="B61" s="55" t="s">
        <v>62</v>
      </c>
      <c r="C61" s="56" t="s">
        <v>43</v>
      </c>
      <c r="D61" s="57">
        <v>33</v>
      </c>
      <c r="E61" s="47" t="s">
        <v>53</v>
      </c>
      <c r="F61" s="26">
        <f>10%*D61</f>
        <v>3.3000000000000003</v>
      </c>
      <c r="G61" s="19">
        <v>0</v>
      </c>
      <c r="H61" s="26">
        <f t="shared" si="12"/>
        <v>3.3000000000000003</v>
      </c>
      <c r="I61" s="19">
        <v>0</v>
      </c>
      <c r="J61" s="19">
        <v>2</v>
      </c>
      <c r="K61" s="19">
        <v>0</v>
      </c>
      <c r="L61" s="19">
        <v>0</v>
      </c>
      <c r="M61" s="19">
        <f t="shared" si="13"/>
        <v>2</v>
      </c>
      <c r="N61" s="80"/>
      <c r="O61" s="81"/>
      <c r="P61" s="87"/>
    </row>
    <row r="62" spans="1:16" ht="14.25" customHeight="1" x14ac:dyDescent="0.3">
      <c r="A62" s="75"/>
      <c r="B62" s="71"/>
      <c r="C62" s="72"/>
      <c r="D62" s="73">
        <f>SUM(D55:D61)</f>
        <v>3448.0299999999997</v>
      </c>
      <c r="E62" s="74"/>
      <c r="F62" s="73">
        <f t="shared" ref="F62:K62" si="14">SUM(F55:F61)</f>
        <v>474.99599999999998</v>
      </c>
      <c r="G62" s="83">
        <f t="shared" si="14"/>
        <v>0</v>
      </c>
      <c r="H62" s="73">
        <f t="shared" si="14"/>
        <v>474.99599999999998</v>
      </c>
      <c r="I62" s="83">
        <f t="shared" si="14"/>
        <v>0</v>
      </c>
      <c r="J62" s="83">
        <f t="shared" si="14"/>
        <v>17</v>
      </c>
      <c r="K62" s="83">
        <f t="shared" si="14"/>
        <v>6</v>
      </c>
      <c r="L62" s="83"/>
      <c r="M62" s="83">
        <f>SUM(M55:M61)</f>
        <v>23</v>
      </c>
      <c r="N62" s="76"/>
      <c r="O62" s="77"/>
      <c r="P62" s="75"/>
    </row>
    <row r="63" spans="1:16" ht="14.25" customHeight="1" x14ac:dyDescent="0.3">
      <c r="A63" s="63">
        <v>5</v>
      </c>
      <c r="B63" s="64" t="s">
        <v>96</v>
      </c>
      <c r="C63" s="65"/>
      <c r="D63" s="66"/>
      <c r="E63" s="67"/>
      <c r="F63" s="66"/>
      <c r="G63" s="82"/>
      <c r="H63" s="66"/>
      <c r="I63" s="82"/>
      <c r="J63" s="82"/>
      <c r="K63" s="82"/>
      <c r="L63" s="82"/>
      <c r="M63" s="82"/>
      <c r="N63" s="69"/>
      <c r="O63" s="70"/>
      <c r="P63" s="68"/>
    </row>
    <row r="64" spans="1:16" ht="14.25" customHeight="1" x14ac:dyDescent="0.3">
      <c r="A64" s="16"/>
      <c r="B64" s="14" t="s">
        <v>57</v>
      </c>
      <c r="C64" s="15" t="s">
        <v>22</v>
      </c>
      <c r="D64" s="26">
        <v>9.5</v>
      </c>
      <c r="E64" s="47" t="s">
        <v>163</v>
      </c>
      <c r="F64" s="26">
        <f>10%*D64</f>
        <v>0.95000000000000007</v>
      </c>
      <c r="G64" s="19">
        <v>0</v>
      </c>
      <c r="H64" s="26">
        <f t="shared" ref="H64:H72" si="15">SUM(F64:G64)</f>
        <v>0.95000000000000007</v>
      </c>
      <c r="I64" s="19">
        <v>0</v>
      </c>
      <c r="J64" s="19"/>
      <c r="K64" s="19">
        <v>0</v>
      </c>
      <c r="L64" s="19">
        <v>0</v>
      </c>
      <c r="M64" s="19">
        <f>SUM(I64:L64)</f>
        <v>0</v>
      </c>
      <c r="N64" s="35"/>
      <c r="O64" s="36" t="s">
        <v>136</v>
      </c>
      <c r="P64" s="16"/>
    </row>
    <row r="65" spans="1:16" ht="14.25" customHeight="1" x14ac:dyDescent="0.3">
      <c r="A65" s="16"/>
      <c r="B65" s="14" t="s">
        <v>58</v>
      </c>
      <c r="C65" s="15" t="s">
        <v>21</v>
      </c>
      <c r="D65" s="26">
        <v>17.11</v>
      </c>
      <c r="E65" s="47" t="s">
        <v>164</v>
      </c>
      <c r="F65" s="26">
        <f>10%*D65</f>
        <v>1.7110000000000001</v>
      </c>
      <c r="G65" s="19">
        <v>0</v>
      </c>
      <c r="H65" s="26">
        <f t="shared" si="15"/>
        <v>1.7110000000000001</v>
      </c>
      <c r="I65" s="19">
        <v>0</v>
      </c>
      <c r="J65" s="19">
        <v>1</v>
      </c>
      <c r="K65" s="19">
        <v>0</v>
      </c>
      <c r="L65" s="19">
        <v>0</v>
      </c>
      <c r="M65" s="19">
        <f t="shared" ref="M65:M72" si="16">SUM(I65:L65)</f>
        <v>1</v>
      </c>
      <c r="N65" s="35"/>
      <c r="O65" s="36" t="s">
        <v>50</v>
      </c>
      <c r="P65" s="16"/>
    </row>
    <row r="66" spans="1:16" ht="30.75" customHeight="1" x14ac:dyDescent="0.3">
      <c r="A66" s="16"/>
      <c r="B66" s="14"/>
      <c r="C66" s="15"/>
      <c r="D66" s="26"/>
      <c r="E66" s="49" t="s">
        <v>187</v>
      </c>
      <c r="F66" s="96">
        <v>1</v>
      </c>
      <c r="G66" s="97">
        <v>0</v>
      </c>
      <c r="H66" s="96">
        <f t="shared" si="15"/>
        <v>1</v>
      </c>
      <c r="I66" s="97">
        <v>0</v>
      </c>
      <c r="J66" s="97">
        <v>1</v>
      </c>
      <c r="K66" s="97">
        <v>0</v>
      </c>
      <c r="L66" s="97">
        <v>0</v>
      </c>
      <c r="M66" s="97">
        <f t="shared" si="16"/>
        <v>1</v>
      </c>
      <c r="N66" s="35"/>
      <c r="O66" s="36"/>
      <c r="P66" s="16"/>
    </row>
    <row r="67" spans="1:16" ht="14.25" customHeight="1" x14ac:dyDescent="0.3">
      <c r="A67" s="16"/>
      <c r="B67" s="14" t="s">
        <v>59</v>
      </c>
      <c r="C67" s="15" t="s">
        <v>43</v>
      </c>
      <c r="D67" s="26">
        <v>17.79</v>
      </c>
      <c r="E67" s="47" t="s">
        <v>163</v>
      </c>
      <c r="F67" s="26">
        <f t="shared" ref="F67:F72" si="17">10%*D67</f>
        <v>1.7789999999999999</v>
      </c>
      <c r="G67" s="19">
        <v>0</v>
      </c>
      <c r="H67" s="26">
        <f t="shared" si="15"/>
        <v>1.7789999999999999</v>
      </c>
      <c r="I67" s="19">
        <v>0</v>
      </c>
      <c r="J67" s="19"/>
      <c r="K67" s="19">
        <v>1</v>
      </c>
      <c r="L67" s="19">
        <v>0</v>
      </c>
      <c r="M67" s="19">
        <f t="shared" si="16"/>
        <v>1</v>
      </c>
      <c r="N67" s="35"/>
      <c r="O67" s="36" t="s">
        <v>137</v>
      </c>
      <c r="P67" s="16"/>
    </row>
    <row r="68" spans="1:16" ht="14.25" customHeight="1" x14ac:dyDescent="0.3">
      <c r="A68" s="16"/>
      <c r="B68" s="14" t="s">
        <v>60</v>
      </c>
      <c r="C68" s="15" t="s">
        <v>44</v>
      </c>
      <c r="D68" s="26">
        <v>30.5</v>
      </c>
      <c r="E68" s="47" t="s">
        <v>164</v>
      </c>
      <c r="F68" s="26">
        <f t="shared" si="17"/>
        <v>3.0500000000000003</v>
      </c>
      <c r="G68" s="19">
        <v>0</v>
      </c>
      <c r="H68" s="26">
        <f t="shared" si="15"/>
        <v>3.0500000000000003</v>
      </c>
      <c r="I68" s="19">
        <v>0</v>
      </c>
      <c r="J68" s="19">
        <v>0</v>
      </c>
      <c r="K68" s="19">
        <v>0</v>
      </c>
      <c r="L68" s="19">
        <v>0</v>
      </c>
      <c r="M68" s="19">
        <f t="shared" si="16"/>
        <v>0</v>
      </c>
      <c r="N68" s="35"/>
      <c r="O68" s="36" t="s">
        <v>145</v>
      </c>
      <c r="P68" s="16"/>
    </row>
    <row r="69" spans="1:16" ht="14.25" customHeight="1" x14ac:dyDescent="0.3">
      <c r="A69" s="16"/>
      <c r="B69" s="14" t="s">
        <v>61</v>
      </c>
      <c r="C69" s="15" t="s">
        <v>33</v>
      </c>
      <c r="D69" s="26">
        <v>5.2</v>
      </c>
      <c r="E69" s="47" t="s">
        <v>163</v>
      </c>
      <c r="F69" s="26">
        <f t="shared" si="17"/>
        <v>0.52</v>
      </c>
      <c r="G69" s="19">
        <v>0</v>
      </c>
      <c r="H69" s="26">
        <f t="shared" si="15"/>
        <v>0.52</v>
      </c>
      <c r="I69" s="19">
        <v>0</v>
      </c>
      <c r="J69" s="19">
        <v>0</v>
      </c>
      <c r="K69" s="19">
        <v>0</v>
      </c>
      <c r="L69" s="19">
        <v>0</v>
      </c>
      <c r="M69" s="19">
        <f t="shared" si="16"/>
        <v>0</v>
      </c>
      <c r="N69" s="35"/>
      <c r="O69" s="36" t="s">
        <v>146</v>
      </c>
      <c r="P69" s="16"/>
    </row>
    <row r="70" spans="1:16" ht="14.25" customHeight="1" x14ac:dyDescent="0.3">
      <c r="A70" s="16"/>
      <c r="B70" s="14" t="s">
        <v>62</v>
      </c>
      <c r="C70" s="15" t="s">
        <v>32</v>
      </c>
      <c r="D70" s="26">
        <v>0.25</v>
      </c>
      <c r="E70" s="47" t="s">
        <v>163</v>
      </c>
      <c r="F70" s="26">
        <f t="shared" si="17"/>
        <v>2.5000000000000001E-2</v>
      </c>
      <c r="G70" s="19">
        <v>0</v>
      </c>
      <c r="H70" s="26">
        <f t="shared" si="15"/>
        <v>2.5000000000000001E-2</v>
      </c>
      <c r="I70" s="19">
        <v>0</v>
      </c>
      <c r="J70" s="19">
        <v>0</v>
      </c>
      <c r="K70" s="19">
        <v>0</v>
      </c>
      <c r="L70" s="19">
        <v>0</v>
      </c>
      <c r="M70" s="19">
        <f t="shared" si="16"/>
        <v>0</v>
      </c>
      <c r="N70" s="35"/>
      <c r="O70" s="36"/>
      <c r="P70" s="16"/>
    </row>
    <row r="71" spans="1:16" ht="14.25" customHeight="1" x14ac:dyDescent="0.3">
      <c r="A71" s="16"/>
      <c r="B71" s="14">
        <v>9</v>
      </c>
      <c r="C71" s="15" t="s">
        <v>30</v>
      </c>
      <c r="D71" s="26">
        <v>9.5</v>
      </c>
      <c r="E71" s="47" t="s">
        <v>163</v>
      </c>
      <c r="F71" s="26">
        <f t="shared" si="17"/>
        <v>0.95000000000000007</v>
      </c>
      <c r="G71" s="19">
        <v>0</v>
      </c>
      <c r="H71" s="26">
        <f t="shared" si="15"/>
        <v>0.95000000000000007</v>
      </c>
      <c r="I71" s="19">
        <v>0</v>
      </c>
      <c r="J71" s="19">
        <v>0</v>
      </c>
      <c r="K71" s="19">
        <v>0</v>
      </c>
      <c r="L71" s="19">
        <v>0</v>
      </c>
      <c r="M71" s="19">
        <f t="shared" si="16"/>
        <v>0</v>
      </c>
      <c r="N71" s="35"/>
      <c r="O71" s="36"/>
      <c r="P71" s="16"/>
    </row>
    <row r="72" spans="1:16" ht="14.25" customHeight="1" x14ac:dyDescent="0.3">
      <c r="A72" s="87"/>
      <c r="B72" s="55" t="s">
        <v>64</v>
      </c>
      <c r="C72" s="56" t="s">
        <v>31</v>
      </c>
      <c r="D72" s="57">
        <v>4</v>
      </c>
      <c r="E72" s="85" t="s">
        <v>164</v>
      </c>
      <c r="F72" s="26">
        <f t="shared" si="17"/>
        <v>0.4</v>
      </c>
      <c r="G72" s="19">
        <v>0</v>
      </c>
      <c r="H72" s="26">
        <f t="shared" si="15"/>
        <v>0.4</v>
      </c>
      <c r="I72" s="79">
        <v>0</v>
      </c>
      <c r="J72" s="79">
        <v>0</v>
      </c>
      <c r="K72" s="79">
        <v>0</v>
      </c>
      <c r="L72" s="79">
        <v>0</v>
      </c>
      <c r="M72" s="79">
        <f t="shared" si="16"/>
        <v>0</v>
      </c>
      <c r="N72" s="80"/>
      <c r="O72" s="81"/>
      <c r="P72" s="87"/>
    </row>
    <row r="73" spans="1:16" ht="14.25" customHeight="1" x14ac:dyDescent="0.3">
      <c r="A73" s="75"/>
      <c r="B73" s="71"/>
      <c r="C73" s="72"/>
      <c r="D73" s="73">
        <f>SUM(D64:D72)</f>
        <v>93.850000000000009</v>
      </c>
      <c r="E73" s="74"/>
      <c r="F73" s="73">
        <f t="shared" ref="F73:K73" si="18">SUM(F64:F72)</f>
        <v>10.385</v>
      </c>
      <c r="G73" s="83">
        <f t="shared" si="18"/>
        <v>0</v>
      </c>
      <c r="H73" s="73">
        <f t="shared" si="18"/>
        <v>10.385</v>
      </c>
      <c r="I73" s="83">
        <f t="shared" si="18"/>
        <v>0</v>
      </c>
      <c r="J73" s="83">
        <f t="shared" si="18"/>
        <v>2</v>
      </c>
      <c r="K73" s="83">
        <f t="shared" si="18"/>
        <v>1</v>
      </c>
      <c r="L73" s="83">
        <f t="shared" ref="L73" si="19">SUM(L49:L56)</f>
        <v>0</v>
      </c>
      <c r="M73" s="83">
        <f>SUM(M64:M72)</f>
        <v>3</v>
      </c>
      <c r="N73" s="76"/>
      <c r="O73" s="77"/>
      <c r="P73" s="75"/>
    </row>
    <row r="74" spans="1:16" ht="14.25" customHeight="1" x14ac:dyDescent="0.3">
      <c r="A74" s="103">
        <v>6</v>
      </c>
      <c r="B74" s="104" t="s">
        <v>116</v>
      </c>
      <c r="C74" s="104"/>
      <c r="D74" s="105"/>
      <c r="E74" s="106"/>
      <c r="F74" s="105"/>
      <c r="G74" s="107"/>
      <c r="H74" s="105"/>
      <c r="I74" s="107"/>
      <c r="J74" s="107"/>
      <c r="K74" s="107"/>
      <c r="L74" s="107"/>
      <c r="M74" s="107"/>
      <c r="N74" s="114"/>
      <c r="O74" s="112"/>
      <c r="P74" s="104"/>
    </row>
    <row r="75" spans="1:16" ht="41.25" customHeight="1" x14ac:dyDescent="0.3">
      <c r="A75" s="16"/>
      <c r="B75" s="98" t="s">
        <v>57</v>
      </c>
      <c r="C75" s="99" t="s">
        <v>30</v>
      </c>
      <c r="D75" s="96">
        <v>24.5</v>
      </c>
      <c r="E75" s="101" t="s">
        <v>188</v>
      </c>
      <c r="F75" s="96">
        <f>10%*D75</f>
        <v>2.4500000000000002</v>
      </c>
      <c r="G75" s="97">
        <v>0</v>
      </c>
      <c r="H75" s="96">
        <f t="shared" ref="H75:H80" si="20">SUM(F75:G75)</f>
        <v>2.4500000000000002</v>
      </c>
      <c r="I75" s="97">
        <v>0</v>
      </c>
      <c r="J75" s="97"/>
      <c r="K75" s="97">
        <v>0</v>
      </c>
      <c r="L75" s="97">
        <v>0</v>
      </c>
      <c r="M75" s="97">
        <f>SUM(I75:L75)</f>
        <v>0</v>
      </c>
      <c r="N75" s="35"/>
      <c r="O75" s="40" t="s">
        <v>189</v>
      </c>
      <c r="P75" s="16"/>
    </row>
    <row r="76" spans="1:16" ht="23.25" customHeight="1" x14ac:dyDescent="0.3">
      <c r="A76" s="16"/>
      <c r="B76" s="98"/>
      <c r="C76" s="99"/>
      <c r="D76" s="96"/>
      <c r="E76" s="100" t="s">
        <v>182</v>
      </c>
      <c r="F76" s="96">
        <v>3</v>
      </c>
      <c r="G76" s="97">
        <v>0</v>
      </c>
      <c r="H76" s="96">
        <f t="shared" si="20"/>
        <v>3</v>
      </c>
      <c r="I76" s="97">
        <v>0</v>
      </c>
      <c r="J76" s="97"/>
      <c r="K76" s="97">
        <v>0</v>
      </c>
      <c r="L76" s="97">
        <v>0</v>
      </c>
      <c r="M76" s="97">
        <f>SUM(I76:L76)</f>
        <v>0</v>
      </c>
      <c r="N76" s="35"/>
      <c r="O76" s="36"/>
      <c r="P76" s="16"/>
    </row>
    <row r="77" spans="1:16" ht="14.25" customHeight="1" x14ac:dyDescent="0.3">
      <c r="A77" s="16"/>
      <c r="B77" s="14" t="s">
        <v>58</v>
      </c>
      <c r="C77" s="15" t="s">
        <v>44</v>
      </c>
      <c r="D77" s="26">
        <v>72.03</v>
      </c>
      <c r="E77" s="47" t="s">
        <v>182</v>
      </c>
      <c r="F77" s="26">
        <f>10%*D77</f>
        <v>7.2030000000000003</v>
      </c>
      <c r="G77" s="19">
        <v>0</v>
      </c>
      <c r="H77" s="26">
        <f t="shared" si="20"/>
        <v>7.2030000000000003</v>
      </c>
      <c r="I77" s="19">
        <v>0</v>
      </c>
      <c r="J77" s="19">
        <v>2</v>
      </c>
      <c r="K77" s="19">
        <v>0</v>
      </c>
      <c r="L77" s="19">
        <v>0</v>
      </c>
      <c r="M77" s="19">
        <f t="shared" ref="M77:M80" si="21">SUM(I77:L77)</f>
        <v>2</v>
      </c>
      <c r="N77" s="35"/>
      <c r="O77" s="36"/>
      <c r="P77" s="16"/>
    </row>
    <row r="78" spans="1:16" ht="25.5" customHeight="1" x14ac:dyDescent="0.3">
      <c r="A78" s="16"/>
      <c r="B78" s="14"/>
      <c r="C78" s="15"/>
      <c r="D78" s="26"/>
      <c r="E78" s="101" t="s">
        <v>181</v>
      </c>
      <c r="F78" s="96">
        <v>3</v>
      </c>
      <c r="G78" s="97">
        <v>0</v>
      </c>
      <c r="H78" s="96">
        <f t="shared" si="20"/>
        <v>3</v>
      </c>
      <c r="I78" s="97">
        <v>0</v>
      </c>
      <c r="J78" s="97"/>
      <c r="K78" s="97">
        <v>0</v>
      </c>
      <c r="L78" s="97">
        <v>0</v>
      </c>
      <c r="M78" s="97">
        <f>SUM(I78:L78)</f>
        <v>0</v>
      </c>
      <c r="N78" s="35"/>
      <c r="O78" s="36"/>
      <c r="P78" s="16"/>
    </row>
    <row r="79" spans="1:16" ht="23.25" customHeight="1" x14ac:dyDescent="0.3">
      <c r="A79" s="16"/>
      <c r="B79" s="14" t="s">
        <v>59</v>
      </c>
      <c r="C79" s="15" t="s">
        <v>33</v>
      </c>
      <c r="D79" s="26">
        <v>14.2</v>
      </c>
      <c r="E79" s="101" t="s">
        <v>181</v>
      </c>
      <c r="F79" s="26">
        <f>10%*D79</f>
        <v>1.42</v>
      </c>
      <c r="G79" s="19">
        <v>0</v>
      </c>
      <c r="H79" s="26">
        <f t="shared" si="20"/>
        <v>1.42</v>
      </c>
      <c r="I79" s="19">
        <v>0</v>
      </c>
      <c r="J79" s="19"/>
      <c r="K79" s="19">
        <v>1</v>
      </c>
      <c r="L79" s="19">
        <v>0</v>
      </c>
      <c r="M79" s="19">
        <f t="shared" si="21"/>
        <v>1</v>
      </c>
      <c r="N79" s="35"/>
      <c r="O79" s="36"/>
      <c r="P79" s="16"/>
    </row>
    <row r="80" spans="1:16" ht="42.75" customHeight="1" x14ac:dyDescent="0.3">
      <c r="A80" s="16"/>
      <c r="B80" s="98" t="s">
        <v>61</v>
      </c>
      <c r="C80" s="99" t="s">
        <v>35</v>
      </c>
      <c r="D80" s="96">
        <v>35.72</v>
      </c>
      <c r="E80" s="101" t="s">
        <v>183</v>
      </c>
      <c r="F80" s="96">
        <f>10%*D80</f>
        <v>3.5720000000000001</v>
      </c>
      <c r="G80" s="97">
        <v>0</v>
      </c>
      <c r="H80" s="96">
        <f t="shared" si="20"/>
        <v>3.5720000000000001</v>
      </c>
      <c r="I80" s="97">
        <v>0</v>
      </c>
      <c r="J80" s="97">
        <v>0</v>
      </c>
      <c r="K80" s="97">
        <v>0</v>
      </c>
      <c r="L80" s="97">
        <v>0</v>
      </c>
      <c r="M80" s="97">
        <f t="shared" si="21"/>
        <v>0</v>
      </c>
      <c r="N80" s="35"/>
      <c r="O80" s="36"/>
      <c r="P80" s="16"/>
    </row>
    <row r="81" spans="1:16" ht="14.25" customHeight="1" x14ac:dyDescent="0.3">
      <c r="A81" s="108"/>
      <c r="B81" s="117"/>
      <c r="C81" s="116"/>
      <c r="D81" s="109"/>
      <c r="E81" s="110"/>
      <c r="F81" s="109"/>
      <c r="G81" s="111"/>
      <c r="H81" s="109"/>
      <c r="I81" s="111"/>
      <c r="J81" s="111"/>
      <c r="K81" s="111"/>
      <c r="L81" s="111"/>
      <c r="M81" s="111"/>
      <c r="N81" s="115"/>
      <c r="O81" s="113"/>
      <c r="P81" s="108"/>
    </row>
    <row r="82" spans="1:16" ht="14.25" customHeight="1" x14ac:dyDescent="0.3">
      <c r="A82" s="75"/>
      <c r="B82" s="71"/>
      <c r="C82" s="72"/>
      <c r="D82" s="73">
        <f>SUM(D75:D81)</f>
        <v>146.44999999999999</v>
      </c>
      <c r="E82" s="74"/>
      <c r="F82" s="73">
        <f>SUM(F75:F81)</f>
        <v>20.645</v>
      </c>
      <c r="G82" s="83">
        <f>SUM(G75:G81)</f>
        <v>0</v>
      </c>
      <c r="H82" s="73">
        <f>SUM(H75:H81)</f>
        <v>20.645</v>
      </c>
      <c r="I82" s="83"/>
      <c r="J82" s="83"/>
      <c r="K82" s="83"/>
      <c r="L82" s="83"/>
      <c r="M82" s="83"/>
      <c r="N82" s="76"/>
      <c r="O82" s="77"/>
      <c r="P82" s="75"/>
    </row>
    <row r="83" spans="1:16" ht="8.25" customHeight="1" x14ac:dyDescent="0.3">
      <c r="A83" s="6"/>
      <c r="B83" s="9"/>
      <c r="C83" s="11"/>
      <c r="D83" s="6"/>
      <c r="E83" s="52"/>
      <c r="F83" s="7"/>
      <c r="G83" s="7"/>
      <c r="H83" s="7"/>
      <c r="I83" s="7"/>
      <c r="J83" s="7"/>
      <c r="K83" s="7"/>
      <c r="L83" s="7"/>
      <c r="M83" s="7"/>
      <c r="N83" s="9"/>
      <c r="O83" s="11"/>
      <c r="P83" s="6"/>
    </row>
    <row r="84" spans="1:16" x14ac:dyDescent="0.3">
      <c r="F84" s="2"/>
      <c r="G84" s="2"/>
      <c r="H84" s="2"/>
      <c r="I84" s="2"/>
      <c r="J84" s="2"/>
      <c r="K84" s="2"/>
      <c r="L84" s="2"/>
      <c r="M84" s="2"/>
    </row>
    <row r="85" spans="1:16" x14ac:dyDescent="0.3">
      <c r="F85" s="2"/>
      <c r="G85" s="2"/>
      <c r="H85" s="2"/>
      <c r="I85" s="2"/>
      <c r="J85" s="2" t="s">
        <v>174</v>
      </c>
      <c r="K85" s="2"/>
      <c r="L85" s="2"/>
      <c r="M85" s="2"/>
    </row>
    <row r="86" spans="1:16" x14ac:dyDescent="0.3">
      <c r="A86" s="395" t="s">
        <v>80</v>
      </c>
      <c r="B86" s="395"/>
      <c r="C86" s="395"/>
      <c r="D86" s="395"/>
    </row>
    <row r="87" spans="1:16" x14ac:dyDescent="0.3">
      <c r="A87" s="395" t="s">
        <v>81</v>
      </c>
      <c r="B87" s="395"/>
      <c r="C87" s="395"/>
      <c r="D87" s="395"/>
      <c r="J87" s="1" t="s">
        <v>85</v>
      </c>
    </row>
    <row r="88" spans="1:16" x14ac:dyDescent="0.3">
      <c r="A88" s="395" t="s">
        <v>82</v>
      </c>
      <c r="B88" s="395"/>
      <c r="C88" s="395"/>
      <c r="D88" s="395"/>
      <c r="J88" s="3" t="s">
        <v>86</v>
      </c>
      <c r="K88" s="1" t="s">
        <v>87</v>
      </c>
      <c r="O88" s="1" t="s">
        <v>90</v>
      </c>
    </row>
    <row r="89" spans="1:16" x14ac:dyDescent="0.3">
      <c r="A89" s="395" t="s">
        <v>83</v>
      </c>
      <c r="B89" s="395"/>
      <c r="C89" s="395"/>
      <c r="D89" s="395"/>
      <c r="K89" s="1" t="s">
        <v>91</v>
      </c>
    </row>
    <row r="90" spans="1:16" ht="13.5" customHeight="1" x14ac:dyDescent="0.3"/>
    <row r="91" spans="1:16" ht="13.5" customHeight="1" x14ac:dyDescent="0.3"/>
    <row r="92" spans="1:16" ht="13.5" customHeight="1" x14ac:dyDescent="0.3"/>
    <row r="93" spans="1:16" x14ac:dyDescent="0.3">
      <c r="A93" s="398" t="s">
        <v>175</v>
      </c>
      <c r="B93" s="398"/>
      <c r="C93" s="398"/>
      <c r="D93" s="398"/>
      <c r="J93" s="3" t="s">
        <v>88</v>
      </c>
      <c r="K93" s="1" t="s">
        <v>89</v>
      </c>
      <c r="O93" s="1" t="s">
        <v>90</v>
      </c>
    </row>
    <row r="94" spans="1:16" x14ac:dyDescent="0.3">
      <c r="A94" s="395" t="s">
        <v>190</v>
      </c>
      <c r="B94" s="395"/>
      <c r="C94" s="395"/>
      <c r="D94" s="395"/>
      <c r="K94" s="1" t="s">
        <v>92</v>
      </c>
    </row>
  </sheetData>
  <mergeCells count="17">
    <mergeCell ref="A94:D94"/>
    <mergeCell ref="A86:D86"/>
    <mergeCell ref="A87:D87"/>
    <mergeCell ref="A88:D88"/>
    <mergeCell ref="A89:D89"/>
    <mergeCell ref="A93:D93"/>
    <mergeCell ref="O20:O23"/>
    <mergeCell ref="A1:P1"/>
    <mergeCell ref="A6:A7"/>
    <mergeCell ref="B6:C6"/>
    <mergeCell ref="D6:D7"/>
    <mergeCell ref="E6:E7"/>
    <mergeCell ref="F6:H6"/>
    <mergeCell ref="I6:M6"/>
    <mergeCell ref="N6:O7"/>
    <mergeCell ref="P6:P7"/>
    <mergeCell ref="B7:C7"/>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P101"/>
  <sheetViews>
    <sheetView topLeftCell="A28" workbookViewId="0">
      <selection activeCell="C88" sqref="C88"/>
    </sheetView>
  </sheetViews>
  <sheetFormatPr defaultColWidth="9.1796875" defaultRowHeight="14" x14ac:dyDescent="0.3"/>
  <cols>
    <col min="1" max="1" width="9" style="1" customWidth="1"/>
    <col min="2" max="2" width="2.1796875" style="1" customWidth="1"/>
    <col min="3" max="3" width="17.7265625" style="1" customWidth="1"/>
    <col min="4" max="4" width="11.54296875" style="1" customWidth="1"/>
    <col min="5" max="5" width="27" style="1" customWidth="1"/>
    <col min="6" max="6" width="9" style="1" bestFit="1" customWidth="1"/>
    <col min="7" max="7" width="8.81640625" style="1" customWidth="1"/>
    <col min="8" max="8" width="9" style="1" customWidth="1"/>
    <col min="9" max="9" width="6.453125" style="1" bestFit="1" customWidth="1"/>
    <col min="10" max="10" width="6.81640625" style="1" bestFit="1" customWidth="1"/>
    <col min="11" max="11" width="10" style="1" bestFit="1" customWidth="1"/>
    <col min="12" max="12" width="5.54296875" style="1" bestFit="1" customWidth="1"/>
    <col min="13" max="13" width="6.81640625" style="1" bestFit="1" customWidth="1"/>
    <col min="14" max="14" width="2.1796875" style="1" customWidth="1"/>
    <col min="15" max="15" width="29.7265625" style="1" customWidth="1"/>
    <col min="16" max="16" width="10.26953125" style="1" customWidth="1"/>
    <col min="17" max="16384" width="9.1796875" style="1"/>
  </cols>
  <sheetData>
    <row r="1" spans="1:16" x14ac:dyDescent="0.3">
      <c r="A1" s="385" t="s">
        <v>177</v>
      </c>
      <c r="B1" s="385"/>
      <c r="C1" s="385"/>
      <c r="D1" s="385"/>
      <c r="E1" s="385"/>
      <c r="F1" s="385"/>
      <c r="G1" s="385"/>
      <c r="H1" s="385"/>
      <c r="I1" s="385"/>
      <c r="J1" s="385"/>
      <c r="K1" s="385"/>
      <c r="L1" s="385"/>
      <c r="M1" s="385"/>
      <c r="N1" s="385"/>
      <c r="O1" s="385"/>
      <c r="P1" s="385"/>
    </row>
    <row r="2" spans="1:16" ht="14.25" customHeight="1" x14ac:dyDescent="0.3"/>
    <row r="3" spans="1:16" ht="14.25" customHeight="1" x14ac:dyDescent="0.3">
      <c r="A3" s="1" t="s">
        <v>1</v>
      </c>
      <c r="B3" s="1" t="s">
        <v>78</v>
      </c>
      <c r="C3" s="1" t="s">
        <v>77</v>
      </c>
    </row>
    <row r="4" spans="1:16" ht="14.25" customHeight="1" x14ac:dyDescent="0.3">
      <c r="A4" s="1" t="s">
        <v>2</v>
      </c>
      <c r="B4" s="1" t="s">
        <v>78</v>
      </c>
      <c r="C4" s="4" t="s">
        <v>176</v>
      </c>
    </row>
    <row r="6" spans="1:16" x14ac:dyDescent="0.3">
      <c r="A6" s="386" t="s">
        <v>3</v>
      </c>
      <c r="B6" s="388" t="s">
        <v>4</v>
      </c>
      <c r="C6" s="388"/>
      <c r="D6" s="389" t="s">
        <v>6</v>
      </c>
      <c r="E6" s="391" t="s">
        <v>7</v>
      </c>
      <c r="F6" s="393" t="s">
        <v>170</v>
      </c>
      <c r="G6" s="393"/>
      <c r="H6" s="393"/>
      <c r="I6" s="393" t="s">
        <v>12</v>
      </c>
      <c r="J6" s="393"/>
      <c r="K6" s="393"/>
      <c r="L6" s="393"/>
      <c r="M6" s="393"/>
      <c r="N6" s="391" t="s">
        <v>17</v>
      </c>
      <c r="O6" s="391"/>
      <c r="P6" s="386" t="s">
        <v>192</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ht="14.25" customHeight="1" x14ac:dyDescent="0.3">
      <c r="A9" s="13">
        <v>1</v>
      </c>
      <c r="B9" s="14" t="s">
        <v>20</v>
      </c>
      <c r="C9" s="15"/>
      <c r="D9" s="16"/>
      <c r="E9" s="47"/>
      <c r="F9" s="16"/>
      <c r="G9" s="16"/>
      <c r="H9" s="16"/>
      <c r="I9" s="16"/>
      <c r="J9" s="16"/>
      <c r="K9" s="16"/>
      <c r="L9" s="16"/>
      <c r="M9" s="16"/>
      <c r="N9" s="35"/>
      <c r="O9" s="36"/>
      <c r="P9" s="16"/>
    </row>
    <row r="10" spans="1:16" ht="14.25" customHeight="1" x14ac:dyDescent="0.3">
      <c r="A10" s="13"/>
      <c r="B10" s="17" t="s">
        <v>57</v>
      </c>
      <c r="C10" s="15" t="s">
        <v>21</v>
      </c>
      <c r="D10" s="18">
        <v>403.56</v>
      </c>
      <c r="E10" s="47" t="s">
        <v>36</v>
      </c>
      <c r="F10" s="26">
        <f>4%*D10</f>
        <v>16.142400000000002</v>
      </c>
      <c r="G10" s="26">
        <f>5%*D10</f>
        <v>20.178000000000001</v>
      </c>
      <c r="H10" s="26">
        <f>SUM(F10:G10)</f>
        <v>36.320400000000006</v>
      </c>
      <c r="I10" s="19">
        <v>0</v>
      </c>
      <c r="J10" s="19"/>
      <c r="K10" s="19">
        <v>5</v>
      </c>
      <c r="L10" s="19"/>
      <c r="M10" s="20">
        <f>SUM(I10:L10)</f>
        <v>5</v>
      </c>
      <c r="N10" s="37"/>
      <c r="O10" s="36"/>
      <c r="P10" s="16"/>
    </row>
    <row r="11" spans="1:16" ht="14.25" customHeight="1" x14ac:dyDescent="0.3">
      <c r="A11" s="13"/>
      <c r="B11" s="14"/>
      <c r="C11" s="15"/>
      <c r="D11" s="18"/>
      <c r="E11" s="47" t="s">
        <v>37</v>
      </c>
      <c r="F11" s="26">
        <v>4</v>
      </c>
      <c r="G11" s="26">
        <f>5%*D11</f>
        <v>0</v>
      </c>
      <c r="H11" s="26">
        <f>SUM(F11:G11)</f>
        <v>4</v>
      </c>
      <c r="I11" s="19">
        <v>0</v>
      </c>
      <c r="J11" s="19">
        <v>0</v>
      </c>
      <c r="K11" s="19">
        <v>3</v>
      </c>
      <c r="L11" s="19">
        <v>0</v>
      </c>
      <c r="M11" s="20">
        <f t="shared" ref="M11:M17" si="0">SUM(I11:L11)</f>
        <v>3</v>
      </c>
      <c r="N11" s="37" t="s">
        <v>51</v>
      </c>
      <c r="O11" s="38" t="s">
        <v>50</v>
      </c>
      <c r="P11" s="16"/>
    </row>
    <row r="12" spans="1:16" ht="14.25" customHeight="1" x14ac:dyDescent="0.3">
      <c r="A12" s="13"/>
      <c r="B12" s="14"/>
      <c r="C12" s="15"/>
      <c r="D12" s="18"/>
      <c r="E12" s="47" t="s">
        <v>38</v>
      </c>
      <c r="F12" s="26">
        <v>5</v>
      </c>
      <c r="G12" s="26">
        <f>5%*D12</f>
        <v>0</v>
      </c>
      <c r="H12" s="26">
        <f>SUM(F12:G12)</f>
        <v>5</v>
      </c>
      <c r="I12" s="19">
        <v>0</v>
      </c>
      <c r="J12" s="19"/>
      <c r="K12" s="19">
        <v>3</v>
      </c>
      <c r="L12" s="19">
        <v>0</v>
      </c>
      <c r="M12" s="20">
        <f t="shared" si="0"/>
        <v>3</v>
      </c>
      <c r="N12" s="37" t="s">
        <v>51</v>
      </c>
      <c r="O12" s="36" t="s">
        <v>49</v>
      </c>
      <c r="P12" s="16"/>
    </row>
    <row r="13" spans="1:16" ht="14.25" customHeight="1" x14ac:dyDescent="0.3">
      <c r="A13" s="13"/>
      <c r="B13" s="14"/>
      <c r="C13" s="15"/>
      <c r="D13" s="18"/>
      <c r="E13" s="48" t="s">
        <v>39</v>
      </c>
      <c r="F13" s="26">
        <v>15</v>
      </c>
      <c r="G13" s="26">
        <f>5%*D13</f>
        <v>0</v>
      </c>
      <c r="H13" s="26">
        <f>SUM(F13:G13)</f>
        <v>15</v>
      </c>
      <c r="I13" s="22">
        <v>0</v>
      </c>
      <c r="J13" s="22">
        <v>0</v>
      </c>
      <c r="K13" s="22">
        <v>0</v>
      </c>
      <c r="L13" s="22">
        <v>0</v>
      </c>
      <c r="M13" s="23">
        <f t="shared" si="0"/>
        <v>0</v>
      </c>
      <c r="N13" s="39" t="s">
        <v>51</v>
      </c>
      <c r="O13" s="40" t="s">
        <v>48</v>
      </c>
      <c r="P13" s="16"/>
    </row>
    <row r="14" spans="1:16" ht="14.25" customHeight="1" x14ac:dyDescent="0.3">
      <c r="A14" s="13"/>
      <c r="B14" s="17" t="s">
        <v>58</v>
      </c>
      <c r="C14" s="15" t="s">
        <v>22</v>
      </c>
      <c r="D14" s="18">
        <v>728.56</v>
      </c>
      <c r="E14" s="47" t="s">
        <v>36</v>
      </c>
      <c r="F14" s="26">
        <f>9%*D14</f>
        <v>65.570399999999992</v>
      </c>
      <c r="G14" s="26">
        <f>5%*D14</f>
        <v>36.427999999999997</v>
      </c>
      <c r="H14" s="26">
        <f>SUM(F14:G14)</f>
        <v>101.99839999999999</v>
      </c>
      <c r="I14" s="19">
        <v>0</v>
      </c>
      <c r="J14" s="19">
        <v>8</v>
      </c>
      <c r="K14" s="19">
        <v>3</v>
      </c>
      <c r="L14" s="19">
        <v>0</v>
      </c>
      <c r="M14" s="20">
        <f t="shared" si="0"/>
        <v>11</v>
      </c>
      <c r="N14" s="35"/>
      <c r="O14" s="41"/>
      <c r="P14" s="16"/>
    </row>
    <row r="15" spans="1:16" ht="14.25" customHeight="1" x14ac:dyDescent="0.3">
      <c r="A15" s="13"/>
      <c r="B15" s="14"/>
      <c r="C15" s="15"/>
      <c r="D15" s="26"/>
      <c r="E15" s="47" t="s">
        <v>37</v>
      </c>
      <c r="F15" s="26">
        <v>8</v>
      </c>
      <c r="G15" s="26">
        <v>300</v>
      </c>
      <c r="H15" s="26">
        <f t="shared" ref="H15:H17" si="1">SUM(F15:G15)</f>
        <v>308</v>
      </c>
      <c r="I15" s="19">
        <v>0</v>
      </c>
      <c r="J15" s="19">
        <v>0</v>
      </c>
      <c r="K15" s="19">
        <v>5</v>
      </c>
      <c r="L15" s="19">
        <v>0</v>
      </c>
      <c r="M15" s="20">
        <f t="shared" si="0"/>
        <v>5</v>
      </c>
      <c r="N15" s="35"/>
      <c r="O15" s="36"/>
      <c r="P15" s="16"/>
    </row>
    <row r="16" spans="1:16" ht="14.25" customHeight="1" x14ac:dyDescent="0.3">
      <c r="A16" s="13"/>
      <c r="B16" s="14"/>
      <c r="C16" s="15"/>
      <c r="D16" s="26"/>
      <c r="E16" s="47" t="s">
        <v>38</v>
      </c>
      <c r="F16" s="26">
        <v>100</v>
      </c>
      <c r="G16" s="26">
        <v>375</v>
      </c>
      <c r="H16" s="26">
        <f t="shared" si="1"/>
        <v>475</v>
      </c>
      <c r="I16" s="19">
        <v>0</v>
      </c>
      <c r="J16" s="19">
        <v>0</v>
      </c>
      <c r="K16" s="19">
        <v>0</v>
      </c>
      <c r="L16" s="19">
        <v>0</v>
      </c>
      <c r="M16" s="20">
        <f t="shared" si="0"/>
        <v>0</v>
      </c>
      <c r="N16" s="35"/>
      <c r="O16" s="36"/>
      <c r="P16" s="16"/>
    </row>
    <row r="17" spans="1:16" ht="14.25" customHeight="1" x14ac:dyDescent="0.3">
      <c r="A17" s="54"/>
      <c r="B17" s="55"/>
      <c r="C17" s="56"/>
      <c r="D17" s="57"/>
      <c r="E17" s="58" t="s">
        <v>39</v>
      </c>
      <c r="F17" s="119">
        <v>45</v>
      </c>
      <c r="G17" s="119">
        <v>0</v>
      </c>
      <c r="H17" s="119">
        <f t="shared" si="1"/>
        <v>45</v>
      </c>
      <c r="I17" s="59">
        <v>0</v>
      </c>
      <c r="J17" s="59">
        <v>0</v>
      </c>
      <c r="K17" s="59">
        <v>0</v>
      </c>
      <c r="L17" s="59">
        <v>0</v>
      </c>
      <c r="M17" s="60">
        <f t="shared" si="0"/>
        <v>0</v>
      </c>
      <c r="N17" s="61"/>
      <c r="O17" s="62"/>
      <c r="P17" s="88"/>
    </row>
    <row r="18" spans="1:16" ht="14.25" customHeight="1" x14ac:dyDescent="0.3">
      <c r="A18" s="89"/>
      <c r="B18" s="71"/>
      <c r="C18" s="72"/>
      <c r="D18" s="73">
        <f>SUM(D9:D17)</f>
        <v>1132.1199999999999</v>
      </c>
      <c r="E18" s="74"/>
      <c r="F18" s="118">
        <f>SUM(F9:F17)</f>
        <v>258.71280000000002</v>
      </c>
      <c r="G18" s="118">
        <f>SUM(G9:G17)</f>
        <v>731.60599999999999</v>
      </c>
      <c r="H18" s="118">
        <f>SUM(H9:H17)</f>
        <v>990.31880000000001</v>
      </c>
      <c r="I18" s="75">
        <f>SUM(I9:I17)</f>
        <v>0</v>
      </c>
      <c r="J18" s="75">
        <f>SUM(J9:J17)</f>
        <v>8</v>
      </c>
      <c r="K18" s="75">
        <f>SUM(K8:K17)</f>
        <v>19</v>
      </c>
      <c r="L18" s="75"/>
      <c r="M18" s="75">
        <f>SUM(M9:M17)</f>
        <v>27</v>
      </c>
      <c r="N18" s="76"/>
      <c r="O18" s="77"/>
      <c r="P18" s="75"/>
    </row>
    <row r="19" spans="1:16" ht="14.25" customHeight="1" x14ac:dyDescent="0.3">
      <c r="A19" s="63">
        <v>2</v>
      </c>
      <c r="B19" s="64" t="s">
        <v>23</v>
      </c>
      <c r="C19" s="65"/>
      <c r="D19" s="66"/>
      <c r="E19" s="67"/>
      <c r="F19" s="68"/>
      <c r="G19" s="68"/>
      <c r="H19" s="68"/>
      <c r="I19" s="68"/>
      <c r="J19" s="68"/>
      <c r="K19" s="68"/>
      <c r="L19" s="68"/>
      <c r="M19" s="68"/>
      <c r="N19" s="69"/>
      <c r="O19" s="70"/>
      <c r="P19" s="68"/>
    </row>
    <row r="20" spans="1:16" ht="14.25" customHeight="1" x14ac:dyDescent="0.3">
      <c r="A20" s="13"/>
      <c r="B20" s="14" t="s">
        <v>57</v>
      </c>
      <c r="C20" s="15" t="s">
        <v>22</v>
      </c>
      <c r="D20" s="26">
        <v>198</v>
      </c>
      <c r="E20" s="47" t="s">
        <v>40</v>
      </c>
      <c r="F20" s="19">
        <v>0</v>
      </c>
      <c r="G20" s="19">
        <f>15%*D20</f>
        <v>29.7</v>
      </c>
      <c r="H20" s="19">
        <f t="shared" ref="H20" si="2">SUM(F20:G20)</f>
        <v>29.7</v>
      </c>
      <c r="I20" s="19">
        <v>0</v>
      </c>
      <c r="J20" s="19">
        <v>15</v>
      </c>
      <c r="K20" s="19">
        <v>4</v>
      </c>
      <c r="L20" s="19">
        <v>0</v>
      </c>
      <c r="M20" s="20">
        <f t="shared" ref="M20" si="3">SUM(I20:L20)</f>
        <v>19</v>
      </c>
      <c r="N20" s="37" t="s">
        <v>51</v>
      </c>
      <c r="O20" s="399" t="s">
        <v>54</v>
      </c>
      <c r="P20" s="16"/>
    </row>
    <row r="21" spans="1:16" ht="14.25" customHeight="1" x14ac:dyDescent="0.3">
      <c r="A21" s="54"/>
      <c r="B21" s="55"/>
      <c r="C21" s="56"/>
      <c r="D21" s="57"/>
      <c r="E21" s="85"/>
      <c r="F21" s="79"/>
      <c r="G21" s="79"/>
      <c r="H21" s="79"/>
      <c r="I21" s="79"/>
      <c r="J21" s="79"/>
      <c r="K21" s="79"/>
      <c r="L21" s="79"/>
      <c r="M21" s="86"/>
      <c r="N21" s="95"/>
      <c r="O21" s="401"/>
      <c r="P21" s="87"/>
    </row>
    <row r="22" spans="1:16" ht="14.25" customHeight="1" x14ac:dyDescent="0.3">
      <c r="A22" s="54"/>
      <c r="B22" s="55" t="s">
        <v>58</v>
      </c>
      <c r="C22" s="56" t="s">
        <v>42</v>
      </c>
      <c r="D22" s="57">
        <v>55</v>
      </c>
      <c r="E22" s="47" t="s">
        <v>40</v>
      </c>
      <c r="F22" s="19">
        <v>0</v>
      </c>
      <c r="G22" s="19">
        <v>5</v>
      </c>
      <c r="H22" s="19">
        <f t="shared" ref="H22" si="4">SUM(F22:G22)</f>
        <v>5</v>
      </c>
      <c r="I22" s="19">
        <v>0</v>
      </c>
      <c r="J22" s="19">
        <v>1</v>
      </c>
      <c r="K22" s="19">
        <v>4</v>
      </c>
      <c r="L22" s="19">
        <v>0</v>
      </c>
      <c r="M22" s="20">
        <f t="shared" ref="M22" si="5">SUM(I22:L22)</f>
        <v>5</v>
      </c>
      <c r="N22" s="95"/>
      <c r="O22" s="401"/>
      <c r="P22" s="87"/>
    </row>
    <row r="23" spans="1:16" ht="14.25" customHeight="1" x14ac:dyDescent="0.3">
      <c r="A23" s="54"/>
      <c r="B23" s="55"/>
      <c r="C23" s="56"/>
      <c r="D23" s="57"/>
      <c r="E23" s="85"/>
      <c r="F23" s="79"/>
      <c r="G23" s="79"/>
      <c r="H23" s="79"/>
      <c r="I23" s="79"/>
      <c r="J23" s="79"/>
      <c r="K23" s="79"/>
      <c r="L23" s="79"/>
      <c r="M23" s="86"/>
      <c r="N23" s="95"/>
      <c r="O23" s="401"/>
      <c r="P23" s="87"/>
    </row>
    <row r="24" spans="1:16" ht="14.25" customHeight="1" x14ac:dyDescent="0.3">
      <c r="A24" s="89"/>
      <c r="B24" s="71"/>
      <c r="C24" s="72"/>
      <c r="D24" s="73">
        <f>SUM(D19:D23)</f>
        <v>253</v>
      </c>
      <c r="E24" s="74"/>
      <c r="F24" s="83">
        <f t="shared" ref="F24:K24" si="6">SUM(F19:F23)</f>
        <v>0</v>
      </c>
      <c r="G24" s="83">
        <f t="shared" si="6"/>
        <v>34.700000000000003</v>
      </c>
      <c r="H24" s="83">
        <f t="shared" si="6"/>
        <v>34.700000000000003</v>
      </c>
      <c r="I24" s="83">
        <f t="shared" si="6"/>
        <v>0</v>
      </c>
      <c r="J24" s="83">
        <f t="shared" si="6"/>
        <v>16</v>
      </c>
      <c r="K24" s="83">
        <f t="shared" si="6"/>
        <v>8</v>
      </c>
      <c r="L24" s="83"/>
      <c r="M24" s="83">
        <f>SUM(M19:M23)</f>
        <v>24</v>
      </c>
      <c r="N24" s="76"/>
      <c r="O24" s="77"/>
      <c r="P24" s="75"/>
    </row>
    <row r="25" spans="1:16" ht="14.25" customHeight="1" x14ac:dyDescent="0.3">
      <c r="A25" s="63">
        <v>3</v>
      </c>
      <c r="B25" s="64" t="s">
        <v>19</v>
      </c>
      <c r="C25" s="65"/>
      <c r="D25" s="66"/>
      <c r="E25" s="67"/>
      <c r="F25" s="82"/>
      <c r="G25" s="82"/>
      <c r="H25" s="82"/>
      <c r="I25" s="82"/>
      <c r="J25" s="82"/>
      <c r="K25" s="82"/>
      <c r="L25" s="82"/>
      <c r="M25" s="82"/>
      <c r="N25" s="69"/>
      <c r="O25" s="70"/>
      <c r="P25" s="68"/>
    </row>
    <row r="26" spans="1:16" ht="14.25" customHeight="1" x14ac:dyDescent="0.3">
      <c r="A26" s="13"/>
      <c r="B26" s="14" t="s">
        <v>57</v>
      </c>
      <c r="C26" s="15" t="s">
        <v>24</v>
      </c>
      <c r="D26" s="26">
        <f>1372.4+494</f>
        <v>1866.4</v>
      </c>
      <c r="E26" s="50" t="s">
        <v>52</v>
      </c>
      <c r="F26" s="19">
        <v>0</v>
      </c>
      <c r="G26" s="26">
        <f t="shared" ref="G26:G33" si="7">50%*D26</f>
        <v>933.2</v>
      </c>
      <c r="H26" s="26">
        <f>SUM(F26:G26)</f>
        <v>933.2</v>
      </c>
      <c r="I26" s="19">
        <v>0</v>
      </c>
      <c r="J26" s="19">
        <v>3</v>
      </c>
      <c r="K26" s="19">
        <v>0</v>
      </c>
      <c r="L26" s="19">
        <v>0</v>
      </c>
      <c r="M26" s="19">
        <f>SUM(I26:L26)</f>
        <v>3</v>
      </c>
      <c r="N26" s="35"/>
      <c r="O26" s="43" t="s">
        <v>148</v>
      </c>
      <c r="P26" s="16"/>
    </row>
    <row r="27" spans="1:16" ht="14.25" customHeight="1" x14ac:dyDescent="0.3">
      <c r="A27" s="13"/>
      <c r="B27" s="14" t="s">
        <v>58</v>
      </c>
      <c r="C27" s="15" t="s">
        <v>25</v>
      </c>
      <c r="D27" s="26">
        <f>994.7+363.2</f>
        <v>1357.9</v>
      </c>
      <c r="E27" s="50" t="s">
        <v>52</v>
      </c>
      <c r="F27" s="19">
        <v>0</v>
      </c>
      <c r="G27" s="26">
        <f t="shared" si="7"/>
        <v>678.95</v>
      </c>
      <c r="H27" s="26">
        <f t="shared" ref="H27:H52" si="8">SUM(F27:G27)</f>
        <v>678.95</v>
      </c>
      <c r="I27" s="19">
        <v>0</v>
      </c>
      <c r="J27" s="19">
        <v>2</v>
      </c>
      <c r="K27" s="19">
        <v>2</v>
      </c>
      <c r="L27" s="19">
        <v>0</v>
      </c>
      <c r="M27" s="19">
        <f t="shared" ref="M27:M52" si="9">SUM(I27:L27)</f>
        <v>4</v>
      </c>
      <c r="N27" s="35"/>
      <c r="O27" s="43" t="s">
        <v>149</v>
      </c>
      <c r="P27" s="16"/>
    </row>
    <row r="28" spans="1:16" ht="14.25" customHeight="1" x14ac:dyDescent="0.3">
      <c r="A28" s="13"/>
      <c r="B28" s="14" t="s">
        <v>59</v>
      </c>
      <c r="C28" s="15" t="s">
        <v>26</v>
      </c>
      <c r="D28" s="26">
        <f>976.5+338</f>
        <v>1314.5</v>
      </c>
      <c r="E28" s="50" t="s">
        <v>52</v>
      </c>
      <c r="F28" s="19">
        <v>0</v>
      </c>
      <c r="G28" s="26">
        <f t="shared" si="7"/>
        <v>657.25</v>
      </c>
      <c r="H28" s="26">
        <f t="shared" si="8"/>
        <v>657.25</v>
      </c>
      <c r="I28" s="19">
        <v>0</v>
      </c>
      <c r="J28" s="19">
        <v>3</v>
      </c>
      <c r="K28" s="19">
        <v>0</v>
      </c>
      <c r="L28" s="19">
        <v>0</v>
      </c>
      <c r="M28" s="19">
        <f t="shared" si="9"/>
        <v>3</v>
      </c>
      <c r="N28" s="35"/>
      <c r="O28" s="43" t="s">
        <v>150</v>
      </c>
      <c r="P28" s="16"/>
    </row>
    <row r="29" spans="1:16" ht="14.25" customHeight="1" x14ac:dyDescent="0.3">
      <c r="A29" s="13"/>
      <c r="B29" s="14" t="s">
        <v>60</v>
      </c>
      <c r="C29" s="15" t="s">
        <v>55</v>
      </c>
      <c r="D29" s="26">
        <f>291.6+46.93</f>
        <v>338.53000000000003</v>
      </c>
      <c r="E29" s="50" t="s">
        <v>52</v>
      </c>
      <c r="F29" s="19">
        <v>0</v>
      </c>
      <c r="G29" s="26">
        <f t="shared" si="7"/>
        <v>169.26500000000001</v>
      </c>
      <c r="H29" s="26">
        <f t="shared" si="8"/>
        <v>169.26500000000001</v>
      </c>
      <c r="I29" s="19">
        <v>0</v>
      </c>
      <c r="J29" s="19">
        <v>0</v>
      </c>
      <c r="K29" s="19">
        <v>0</v>
      </c>
      <c r="L29" s="19">
        <v>0</v>
      </c>
      <c r="M29" s="19">
        <f t="shared" si="9"/>
        <v>0</v>
      </c>
      <c r="N29" s="35"/>
      <c r="O29" s="43" t="s">
        <v>151</v>
      </c>
      <c r="P29" s="16"/>
    </row>
    <row r="30" spans="1:16" ht="14.25" customHeight="1" x14ac:dyDescent="0.3">
      <c r="A30" s="13"/>
      <c r="B30" s="14" t="s">
        <v>61</v>
      </c>
      <c r="C30" s="15" t="s">
        <v>27</v>
      </c>
      <c r="D30" s="26">
        <f>831.5+161.25</f>
        <v>992.75</v>
      </c>
      <c r="E30" s="50" t="s">
        <v>52</v>
      </c>
      <c r="F30" s="19">
        <v>0</v>
      </c>
      <c r="G30" s="26">
        <f t="shared" si="7"/>
        <v>496.375</v>
      </c>
      <c r="H30" s="26">
        <f t="shared" si="8"/>
        <v>496.375</v>
      </c>
      <c r="I30" s="19">
        <v>0</v>
      </c>
      <c r="J30" s="19">
        <v>0</v>
      </c>
      <c r="K30" s="19">
        <v>0</v>
      </c>
      <c r="L30" s="19">
        <v>0</v>
      </c>
      <c r="M30" s="19">
        <f t="shared" si="9"/>
        <v>0</v>
      </c>
      <c r="N30" s="35"/>
      <c r="O30" s="44" t="s">
        <v>162</v>
      </c>
      <c r="P30" s="16"/>
    </row>
    <row r="31" spans="1:16" ht="14.25" customHeight="1" x14ac:dyDescent="0.3">
      <c r="A31" s="13"/>
      <c r="B31" s="14" t="s">
        <v>62</v>
      </c>
      <c r="C31" s="15" t="s">
        <v>28</v>
      </c>
      <c r="D31" s="26">
        <f>868+618.6</f>
        <v>1486.6</v>
      </c>
      <c r="E31" s="50" t="s">
        <v>52</v>
      </c>
      <c r="F31" s="19">
        <v>0</v>
      </c>
      <c r="G31" s="26">
        <f t="shared" si="7"/>
        <v>743.3</v>
      </c>
      <c r="H31" s="26">
        <f t="shared" si="8"/>
        <v>743.3</v>
      </c>
      <c r="I31" s="19">
        <v>0</v>
      </c>
      <c r="J31" s="19">
        <v>0</v>
      </c>
      <c r="K31" s="19">
        <v>0</v>
      </c>
      <c r="L31" s="19">
        <v>0</v>
      </c>
      <c r="M31" s="19">
        <f t="shared" si="9"/>
        <v>0</v>
      </c>
      <c r="N31" s="35"/>
      <c r="O31" s="43" t="s">
        <v>152</v>
      </c>
      <c r="P31" s="16"/>
    </row>
    <row r="32" spans="1:16" ht="14.25" customHeight="1" x14ac:dyDescent="0.3">
      <c r="A32" s="13"/>
      <c r="B32" s="14" t="s">
        <v>63</v>
      </c>
      <c r="C32" s="15" t="s">
        <v>29</v>
      </c>
      <c r="D32" s="26">
        <f>1546+278.5</f>
        <v>1824.5</v>
      </c>
      <c r="E32" s="50" t="s">
        <v>52</v>
      </c>
      <c r="F32" s="19">
        <v>0</v>
      </c>
      <c r="G32" s="26">
        <f t="shared" si="7"/>
        <v>912.25</v>
      </c>
      <c r="H32" s="26">
        <f t="shared" si="8"/>
        <v>912.25</v>
      </c>
      <c r="I32" s="19">
        <v>0</v>
      </c>
      <c r="J32" s="19">
        <v>0</v>
      </c>
      <c r="K32" s="19">
        <v>0</v>
      </c>
      <c r="L32" s="19">
        <v>0</v>
      </c>
      <c r="M32" s="19">
        <f t="shared" si="9"/>
        <v>0</v>
      </c>
      <c r="N32" s="35"/>
      <c r="O32" s="43" t="s">
        <v>153</v>
      </c>
      <c r="P32" s="16"/>
    </row>
    <row r="33" spans="1:16" ht="14.25" customHeight="1" x14ac:dyDescent="0.3">
      <c r="A33" s="13"/>
      <c r="B33" s="14" t="s">
        <v>64</v>
      </c>
      <c r="C33" s="15" t="s">
        <v>56</v>
      </c>
      <c r="D33" s="26">
        <f>156.4+34.9</f>
        <v>191.3</v>
      </c>
      <c r="E33" s="50" t="s">
        <v>52</v>
      </c>
      <c r="F33" s="19">
        <v>0</v>
      </c>
      <c r="G33" s="26">
        <f t="shared" si="7"/>
        <v>95.65</v>
      </c>
      <c r="H33" s="26">
        <f t="shared" si="8"/>
        <v>95.65</v>
      </c>
      <c r="I33" s="19">
        <v>0</v>
      </c>
      <c r="J33" s="19">
        <v>6</v>
      </c>
      <c r="K33" s="19">
        <v>0</v>
      </c>
      <c r="L33" s="19">
        <v>0</v>
      </c>
      <c r="M33" s="19">
        <f t="shared" si="9"/>
        <v>6</v>
      </c>
      <c r="N33" s="35"/>
      <c r="O33" s="43" t="s">
        <v>154</v>
      </c>
      <c r="P33" s="16"/>
    </row>
    <row r="34" spans="1:16" ht="14.25" customHeight="1" x14ac:dyDescent="0.3">
      <c r="A34" s="13"/>
      <c r="B34" s="14" t="s">
        <v>65</v>
      </c>
      <c r="C34" s="15" t="s">
        <v>30</v>
      </c>
      <c r="D34" s="26">
        <f>1499.7+565.1</f>
        <v>2064.8000000000002</v>
      </c>
      <c r="E34" s="50" t="s">
        <v>52</v>
      </c>
      <c r="F34" s="19">
        <v>0</v>
      </c>
      <c r="G34" s="26">
        <f>30%*D34</f>
        <v>619.44000000000005</v>
      </c>
      <c r="H34" s="26">
        <f t="shared" si="8"/>
        <v>619.44000000000005</v>
      </c>
      <c r="I34" s="19">
        <v>0</v>
      </c>
      <c r="J34" s="19">
        <v>0</v>
      </c>
      <c r="K34" s="19">
        <v>0</v>
      </c>
      <c r="L34" s="19">
        <v>0</v>
      </c>
      <c r="M34" s="19">
        <f t="shared" si="9"/>
        <v>0</v>
      </c>
      <c r="N34" s="35"/>
      <c r="O34" s="43" t="s">
        <v>155</v>
      </c>
      <c r="P34" s="16"/>
    </row>
    <row r="35" spans="1:16" ht="14.25" customHeight="1" x14ac:dyDescent="0.3">
      <c r="A35" s="13"/>
      <c r="B35" s="14" t="s">
        <v>66</v>
      </c>
      <c r="C35" s="15" t="s">
        <v>31</v>
      </c>
      <c r="D35" s="26">
        <f>1207+389</f>
        <v>1596</v>
      </c>
      <c r="E35" s="50" t="s">
        <v>52</v>
      </c>
      <c r="F35" s="19">
        <v>0</v>
      </c>
      <c r="G35" s="26">
        <f>50%*D35</f>
        <v>798</v>
      </c>
      <c r="H35" s="26">
        <f t="shared" si="8"/>
        <v>798</v>
      </c>
      <c r="I35" s="19">
        <v>0</v>
      </c>
      <c r="J35" s="19">
        <v>0</v>
      </c>
      <c r="K35" s="19">
        <v>0</v>
      </c>
      <c r="L35" s="19">
        <v>0</v>
      </c>
      <c r="M35" s="19">
        <f t="shared" si="9"/>
        <v>0</v>
      </c>
      <c r="N35" s="35"/>
      <c r="O35" s="43" t="s">
        <v>156</v>
      </c>
      <c r="P35" s="16"/>
    </row>
    <row r="36" spans="1:16" ht="14.25" customHeight="1" x14ac:dyDescent="0.3">
      <c r="A36" s="13"/>
      <c r="B36" s="14" t="s">
        <v>67</v>
      </c>
      <c r="C36" s="15" t="s">
        <v>32</v>
      </c>
      <c r="D36" s="26">
        <f>998.9+79.5</f>
        <v>1078.4000000000001</v>
      </c>
      <c r="E36" s="50" t="s">
        <v>52</v>
      </c>
      <c r="F36" s="19">
        <v>0</v>
      </c>
      <c r="G36" s="26">
        <f t="shared" ref="G36:G52" si="10">30%*D36</f>
        <v>323.52000000000004</v>
      </c>
      <c r="H36" s="26">
        <f t="shared" si="8"/>
        <v>323.52000000000004</v>
      </c>
      <c r="I36" s="19">
        <v>0</v>
      </c>
      <c r="J36" s="19">
        <v>0</v>
      </c>
      <c r="K36" s="19">
        <v>0</v>
      </c>
      <c r="L36" s="19">
        <v>0</v>
      </c>
      <c r="M36" s="19">
        <f t="shared" si="9"/>
        <v>0</v>
      </c>
      <c r="N36" s="35"/>
      <c r="O36" s="43" t="s">
        <v>157</v>
      </c>
      <c r="P36" s="16"/>
    </row>
    <row r="37" spans="1:16" ht="14.25" customHeight="1" x14ac:dyDescent="0.3">
      <c r="A37" s="13"/>
      <c r="B37" s="14" t="s">
        <v>68</v>
      </c>
      <c r="C37" s="15" t="s">
        <v>33</v>
      </c>
      <c r="D37" s="26">
        <f>1304+57.5</f>
        <v>1361.5</v>
      </c>
      <c r="E37" s="50" t="s">
        <v>52</v>
      </c>
      <c r="F37" s="19">
        <v>0</v>
      </c>
      <c r="G37" s="26">
        <f t="shared" si="10"/>
        <v>408.45</v>
      </c>
      <c r="H37" s="26">
        <f t="shared" si="8"/>
        <v>408.45</v>
      </c>
      <c r="I37" s="19">
        <v>0</v>
      </c>
      <c r="J37" s="19">
        <v>0</v>
      </c>
      <c r="K37" s="19">
        <v>0</v>
      </c>
      <c r="L37" s="19">
        <v>0</v>
      </c>
      <c r="M37" s="19">
        <f t="shared" si="9"/>
        <v>0</v>
      </c>
      <c r="N37" s="35"/>
      <c r="O37" s="43" t="s">
        <v>158</v>
      </c>
      <c r="P37" s="16"/>
    </row>
    <row r="38" spans="1:16" ht="14.25" customHeight="1" x14ac:dyDescent="0.3">
      <c r="A38" s="13"/>
      <c r="B38" s="14" t="s">
        <v>69</v>
      </c>
      <c r="C38" s="15" t="s">
        <v>34</v>
      </c>
      <c r="D38" s="26">
        <f>1784.1+362</f>
        <v>2146.1</v>
      </c>
      <c r="E38" s="50" t="s">
        <v>52</v>
      </c>
      <c r="F38" s="19">
        <v>0</v>
      </c>
      <c r="G38" s="26">
        <f t="shared" si="10"/>
        <v>643.82999999999993</v>
      </c>
      <c r="H38" s="26">
        <f t="shared" si="8"/>
        <v>643.82999999999993</v>
      </c>
      <c r="I38" s="19">
        <v>0</v>
      </c>
      <c r="J38" s="19">
        <v>4</v>
      </c>
      <c r="K38" s="19">
        <v>11</v>
      </c>
      <c r="L38" s="19">
        <v>0</v>
      </c>
      <c r="M38" s="19">
        <f t="shared" si="9"/>
        <v>15</v>
      </c>
      <c r="N38" s="35"/>
      <c r="O38" s="43" t="s">
        <v>159</v>
      </c>
      <c r="P38" s="16"/>
    </row>
    <row r="39" spans="1:16" ht="14.25" customHeight="1" x14ac:dyDescent="0.3">
      <c r="A39" s="13"/>
      <c r="B39" s="14" t="s">
        <v>70</v>
      </c>
      <c r="C39" s="15" t="s">
        <v>35</v>
      </c>
      <c r="D39" s="26">
        <f>1557+181.5</f>
        <v>1738.5</v>
      </c>
      <c r="E39" s="50" t="s">
        <v>52</v>
      </c>
      <c r="F39" s="19">
        <v>0</v>
      </c>
      <c r="G39" s="26">
        <f t="shared" si="10"/>
        <v>521.54999999999995</v>
      </c>
      <c r="H39" s="26">
        <f t="shared" si="8"/>
        <v>521.54999999999995</v>
      </c>
      <c r="I39" s="19">
        <v>0</v>
      </c>
      <c r="J39" s="19">
        <v>0</v>
      </c>
      <c r="K39" s="19">
        <v>0</v>
      </c>
      <c r="L39" s="19">
        <v>0</v>
      </c>
      <c r="M39" s="19">
        <f t="shared" si="9"/>
        <v>0</v>
      </c>
      <c r="N39" s="35"/>
      <c r="O39" s="43" t="s">
        <v>160</v>
      </c>
      <c r="P39" s="16"/>
    </row>
    <row r="40" spans="1:16" ht="14.25" customHeight="1" x14ac:dyDescent="0.3">
      <c r="A40" s="13"/>
      <c r="B40" s="14" t="s">
        <v>71</v>
      </c>
      <c r="C40" s="15" t="s">
        <v>21</v>
      </c>
      <c r="D40" s="26">
        <f>1940+114</f>
        <v>2054</v>
      </c>
      <c r="E40" s="50" t="s">
        <v>52</v>
      </c>
      <c r="F40" s="19">
        <v>0</v>
      </c>
      <c r="G40" s="26">
        <f t="shared" si="10"/>
        <v>616.19999999999993</v>
      </c>
      <c r="H40" s="26">
        <f t="shared" si="8"/>
        <v>616.19999999999993</v>
      </c>
      <c r="I40" s="19">
        <v>0</v>
      </c>
      <c r="J40" s="19">
        <v>0</v>
      </c>
      <c r="K40" s="19">
        <v>0</v>
      </c>
      <c r="L40" s="19">
        <v>0</v>
      </c>
      <c r="M40" s="19">
        <f t="shared" si="9"/>
        <v>0</v>
      </c>
      <c r="N40" s="35"/>
      <c r="O40" s="43" t="s">
        <v>161</v>
      </c>
      <c r="P40" s="16"/>
    </row>
    <row r="41" spans="1:16" ht="14.25" customHeight="1" x14ac:dyDescent="0.3">
      <c r="A41" s="13"/>
      <c r="B41" s="14" t="s">
        <v>72</v>
      </c>
      <c r="C41" s="15" t="s">
        <v>42</v>
      </c>
      <c r="D41" s="26">
        <f>773.1+303.8</f>
        <v>1076.9000000000001</v>
      </c>
      <c r="E41" s="50" t="s">
        <v>52</v>
      </c>
      <c r="F41" s="19">
        <v>0</v>
      </c>
      <c r="G41" s="26">
        <f t="shared" si="10"/>
        <v>323.07</v>
      </c>
      <c r="H41" s="26">
        <f t="shared" si="8"/>
        <v>323.07</v>
      </c>
      <c r="I41" s="19">
        <v>0</v>
      </c>
      <c r="J41" s="19">
        <v>0</v>
      </c>
      <c r="K41" s="19">
        <v>0</v>
      </c>
      <c r="L41" s="19">
        <v>0</v>
      </c>
      <c r="M41" s="19">
        <f t="shared" si="9"/>
        <v>0</v>
      </c>
      <c r="N41" s="35"/>
      <c r="O41" s="36"/>
      <c r="P41" s="16"/>
    </row>
    <row r="42" spans="1:16" ht="14.25" customHeight="1" x14ac:dyDescent="0.3">
      <c r="A42" s="13"/>
      <c r="B42" s="14" t="s">
        <v>73</v>
      </c>
      <c r="C42" s="15" t="s">
        <v>105</v>
      </c>
      <c r="D42" s="26">
        <f>153.8+8.7</f>
        <v>162.5</v>
      </c>
      <c r="E42" s="50" t="s">
        <v>52</v>
      </c>
      <c r="F42" s="19">
        <v>0</v>
      </c>
      <c r="G42" s="26">
        <f t="shared" si="10"/>
        <v>48.75</v>
      </c>
      <c r="H42" s="26">
        <f t="shared" si="8"/>
        <v>48.75</v>
      </c>
      <c r="I42" s="19">
        <v>0</v>
      </c>
      <c r="J42" s="19">
        <v>0</v>
      </c>
      <c r="K42" s="19">
        <v>0</v>
      </c>
      <c r="L42" s="19">
        <v>0</v>
      </c>
      <c r="M42" s="19">
        <f t="shared" si="9"/>
        <v>0</v>
      </c>
      <c r="N42" s="35"/>
      <c r="O42" s="36"/>
      <c r="P42" s="16"/>
    </row>
    <row r="43" spans="1:16" ht="14.25" customHeight="1" x14ac:dyDescent="0.3">
      <c r="A43" s="13"/>
      <c r="B43" s="14" t="s">
        <v>74</v>
      </c>
      <c r="C43" s="15" t="s">
        <v>110</v>
      </c>
      <c r="D43" s="26">
        <f>695+48.2</f>
        <v>743.2</v>
      </c>
      <c r="E43" s="50" t="s">
        <v>52</v>
      </c>
      <c r="F43" s="19">
        <v>0</v>
      </c>
      <c r="G43" s="26">
        <f t="shared" si="10"/>
        <v>222.96</v>
      </c>
      <c r="H43" s="26">
        <f t="shared" si="8"/>
        <v>222.96</v>
      </c>
      <c r="I43" s="19">
        <v>0</v>
      </c>
      <c r="J43" s="19">
        <v>0</v>
      </c>
      <c r="K43" s="19">
        <v>0</v>
      </c>
      <c r="L43" s="19">
        <v>0</v>
      </c>
      <c r="M43" s="19">
        <f t="shared" si="9"/>
        <v>0</v>
      </c>
      <c r="N43" s="35"/>
      <c r="O43" s="36"/>
      <c r="P43" s="16"/>
    </row>
    <row r="44" spans="1:16" ht="14.25" customHeight="1" x14ac:dyDescent="0.3">
      <c r="A44" s="13"/>
      <c r="B44" s="14" t="s">
        <v>75</v>
      </c>
      <c r="C44" s="15" t="s">
        <v>112</v>
      </c>
      <c r="D44" s="26">
        <f>375+14</f>
        <v>389</v>
      </c>
      <c r="E44" s="50" t="s">
        <v>52</v>
      </c>
      <c r="F44" s="19">
        <v>0</v>
      </c>
      <c r="G44" s="26">
        <f t="shared" si="10"/>
        <v>116.69999999999999</v>
      </c>
      <c r="H44" s="26">
        <f t="shared" si="8"/>
        <v>116.69999999999999</v>
      </c>
      <c r="I44" s="19">
        <v>0</v>
      </c>
      <c r="J44" s="19">
        <v>0</v>
      </c>
      <c r="K44" s="19">
        <v>0</v>
      </c>
      <c r="L44" s="19">
        <v>0</v>
      </c>
      <c r="M44" s="19">
        <f t="shared" si="9"/>
        <v>0</v>
      </c>
      <c r="N44" s="35"/>
      <c r="O44" s="36"/>
      <c r="P44" s="16"/>
    </row>
    <row r="45" spans="1:16" ht="14.25" customHeight="1" x14ac:dyDescent="0.3">
      <c r="A45" s="13"/>
      <c r="B45" s="14" t="s">
        <v>104</v>
      </c>
      <c r="C45" s="15" t="s">
        <v>114</v>
      </c>
      <c r="D45" s="26">
        <f>73.5</f>
        <v>73.5</v>
      </c>
      <c r="E45" s="50" t="s">
        <v>52</v>
      </c>
      <c r="F45" s="19">
        <v>0</v>
      </c>
      <c r="G45" s="26">
        <f t="shared" si="10"/>
        <v>22.05</v>
      </c>
      <c r="H45" s="26">
        <f t="shared" si="8"/>
        <v>22.05</v>
      </c>
      <c r="I45" s="19">
        <v>0</v>
      </c>
      <c r="J45" s="19">
        <v>0</v>
      </c>
      <c r="K45" s="19">
        <v>0</v>
      </c>
      <c r="L45" s="19">
        <v>0</v>
      </c>
      <c r="M45" s="19">
        <f t="shared" si="9"/>
        <v>0</v>
      </c>
      <c r="N45" s="35"/>
      <c r="O45" s="36"/>
      <c r="P45" s="16"/>
    </row>
    <row r="46" spans="1:16" ht="14.25" customHeight="1" x14ac:dyDescent="0.3">
      <c r="A46" s="13"/>
      <c r="B46" s="14" t="s">
        <v>106</v>
      </c>
      <c r="C46" s="15" t="s">
        <v>22</v>
      </c>
      <c r="D46" s="26">
        <f>1130+101</f>
        <v>1231</v>
      </c>
      <c r="E46" s="50" t="s">
        <v>52</v>
      </c>
      <c r="F46" s="19">
        <v>0</v>
      </c>
      <c r="G46" s="26">
        <f t="shared" si="10"/>
        <v>369.3</v>
      </c>
      <c r="H46" s="26">
        <f t="shared" si="8"/>
        <v>369.3</v>
      </c>
      <c r="I46" s="19">
        <v>0</v>
      </c>
      <c r="J46" s="19">
        <v>0</v>
      </c>
      <c r="K46" s="19">
        <v>0</v>
      </c>
      <c r="L46" s="19">
        <v>0</v>
      </c>
      <c r="M46" s="19">
        <f t="shared" si="9"/>
        <v>0</v>
      </c>
      <c r="N46" s="35"/>
      <c r="O46" s="36"/>
      <c r="P46" s="16"/>
    </row>
    <row r="47" spans="1:16" ht="14.25" customHeight="1" x14ac:dyDescent="0.3">
      <c r="A47" s="13"/>
      <c r="B47" s="14" t="s">
        <v>108</v>
      </c>
      <c r="C47" s="15" t="s">
        <v>180</v>
      </c>
      <c r="D47" s="26">
        <f>134.8+5</f>
        <v>139.80000000000001</v>
      </c>
      <c r="E47" s="47" t="s">
        <v>45</v>
      </c>
      <c r="F47" s="19">
        <v>0</v>
      </c>
      <c r="G47" s="26">
        <f t="shared" si="10"/>
        <v>41.940000000000005</v>
      </c>
      <c r="H47" s="26">
        <f t="shared" si="8"/>
        <v>41.940000000000005</v>
      </c>
      <c r="I47" s="19">
        <v>0</v>
      </c>
      <c r="J47" s="19">
        <v>0</v>
      </c>
      <c r="K47" s="19">
        <v>0</v>
      </c>
      <c r="L47" s="19">
        <v>0</v>
      </c>
      <c r="M47" s="19">
        <f t="shared" si="9"/>
        <v>0</v>
      </c>
      <c r="N47" s="35"/>
      <c r="O47" s="36"/>
      <c r="P47" s="16"/>
    </row>
    <row r="48" spans="1:16" ht="14.25" customHeight="1" x14ac:dyDescent="0.3">
      <c r="A48" s="13"/>
      <c r="B48" s="14" t="s">
        <v>109</v>
      </c>
      <c r="C48" s="15" t="s">
        <v>43</v>
      </c>
      <c r="D48" s="26">
        <f>1189+216.6</f>
        <v>1405.6</v>
      </c>
      <c r="E48" s="50" t="s">
        <v>52</v>
      </c>
      <c r="F48" s="19">
        <v>0</v>
      </c>
      <c r="G48" s="26">
        <f t="shared" si="10"/>
        <v>421.67999999999995</v>
      </c>
      <c r="H48" s="26">
        <f t="shared" si="8"/>
        <v>421.67999999999995</v>
      </c>
      <c r="I48" s="19">
        <v>0</v>
      </c>
      <c r="J48" s="19">
        <v>0</v>
      </c>
      <c r="K48" s="19">
        <v>0</v>
      </c>
      <c r="L48" s="19">
        <v>0</v>
      </c>
      <c r="M48" s="19">
        <f t="shared" si="9"/>
        <v>0</v>
      </c>
      <c r="N48" s="35"/>
      <c r="O48" s="36"/>
      <c r="P48" s="16"/>
    </row>
    <row r="49" spans="1:16" ht="14.25" customHeight="1" x14ac:dyDescent="0.3">
      <c r="A49" s="13"/>
      <c r="B49" s="55" t="s">
        <v>111</v>
      </c>
      <c r="C49" s="56" t="s">
        <v>44</v>
      </c>
      <c r="D49" s="57">
        <f>1396.6+127</f>
        <v>1523.6</v>
      </c>
      <c r="E49" s="78" t="s">
        <v>52</v>
      </c>
      <c r="F49" s="19">
        <v>0</v>
      </c>
      <c r="G49" s="26">
        <f t="shared" si="10"/>
        <v>457.08</v>
      </c>
      <c r="H49" s="26">
        <f t="shared" si="8"/>
        <v>457.08</v>
      </c>
      <c r="I49" s="19">
        <v>0</v>
      </c>
      <c r="J49" s="19">
        <v>0</v>
      </c>
      <c r="K49" s="19">
        <v>0</v>
      </c>
      <c r="L49" s="19">
        <v>0</v>
      </c>
      <c r="M49" s="19">
        <f t="shared" si="9"/>
        <v>0</v>
      </c>
      <c r="N49" s="35"/>
      <c r="O49" s="36"/>
      <c r="P49" s="16"/>
    </row>
    <row r="50" spans="1:16" ht="14.25" customHeight="1" x14ac:dyDescent="0.3">
      <c r="A50" s="13"/>
      <c r="B50" s="14"/>
      <c r="C50" s="15"/>
      <c r="D50" s="26"/>
      <c r="E50" s="47" t="s">
        <v>45</v>
      </c>
      <c r="F50" s="19">
        <v>0</v>
      </c>
      <c r="G50" s="26">
        <f t="shared" si="10"/>
        <v>0</v>
      </c>
      <c r="H50" s="26">
        <f t="shared" si="8"/>
        <v>0</v>
      </c>
      <c r="I50" s="19">
        <v>0</v>
      </c>
      <c r="J50" s="19">
        <v>0</v>
      </c>
      <c r="K50" s="19">
        <v>0</v>
      </c>
      <c r="L50" s="19">
        <v>0</v>
      </c>
      <c r="M50" s="19">
        <f t="shared" si="9"/>
        <v>0</v>
      </c>
      <c r="N50" s="35"/>
      <c r="O50" s="36"/>
      <c r="P50" s="16"/>
    </row>
    <row r="51" spans="1:16" ht="14.25" customHeight="1" x14ac:dyDescent="0.3">
      <c r="A51" s="13"/>
      <c r="B51" s="14" t="s">
        <v>74</v>
      </c>
      <c r="C51" s="15" t="s">
        <v>43</v>
      </c>
      <c r="D51" s="26">
        <v>1189</v>
      </c>
      <c r="E51" s="50" t="s">
        <v>52</v>
      </c>
      <c r="F51" s="19">
        <v>0</v>
      </c>
      <c r="G51" s="26">
        <f t="shared" si="10"/>
        <v>356.7</v>
      </c>
      <c r="H51" s="26">
        <f t="shared" si="8"/>
        <v>356.7</v>
      </c>
      <c r="I51" s="19">
        <v>0</v>
      </c>
      <c r="J51" s="19">
        <v>0</v>
      </c>
      <c r="K51" s="19">
        <v>0</v>
      </c>
      <c r="L51" s="19">
        <v>0</v>
      </c>
      <c r="M51" s="19">
        <f t="shared" si="9"/>
        <v>0</v>
      </c>
      <c r="N51" s="35"/>
      <c r="O51" s="36"/>
      <c r="P51" s="16"/>
    </row>
    <row r="52" spans="1:16" ht="14.25" customHeight="1" x14ac:dyDescent="0.3">
      <c r="A52" s="54"/>
      <c r="B52" s="55" t="s">
        <v>75</v>
      </c>
      <c r="C52" s="56" t="s">
        <v>44</v>
      </c>
      <c r="D52" s="57">
        <v>1391</v>
      </c>
      <c r="E52" s="78" t="s">
        <v>52</v>
      </c>
      <c r="F52" s="19">
        <v>0</v>
      </c>
      <c r="G52" s="26">
        <f t="shared" si="10"/>
        <v>417.3</v>
      </c>
      <c r="H52" s="26">
        <f t="shared" si="8"/>
        <v>417.3</v>
      </c>
      <c r="I52" s="19">
        <v>0</v>
      </c>
      <c r="J52" s="19">
        <v>3</v>
      </c>
      <c r="K52" s="19">
        <v>1</v>
      </c>
      <c r="L52" s="19">
        <v>0</v>
      </c>
      <c r="M52" s="19">
        <f t="shared" si="9"/>
        <v>4</v>
      </c>
      <c r="N52" s="80"/>
      <c r="O52" s="81"/>
      <c r="P52" s="87"/>
    </row>
    <row r="53" spans="1:16" ht="14.25" customHeight="1" x14ac:dyDescent="0.3">
      <c r="A53" s="89"/>
      <c r="B53" s="71"/>
      <c r="C53" s="72"/>
      <c r="D53" s="84">
        <f>SUM(D26:D52)</f>
        <v>30736.879999999997</v>
      </c>
      <c r="E53" s="74"/>
      <c r="F53" s="83">
        <f t="shared" ref="F53:M53" si="11">SUM(F26:F52)</f>
        <v>0</v>
      </c>
      <c r="G53" s="83">
        <f t="shared" si="11"/>
        <v>11414.76</v>
      </c>
      <c r="H53" s="83">
        <f t="shared" si="11"/>
        <v>11414.76</v>
      </c>
      <c r="I53" s="83">
        <f t="shared" si="11"/>
        <v>0</v>
      </c>
      <c r="J53" s="83">
        <f t="shared" si="11"/>
        <v>21</v>
      </c>
      <c r="K53" s="83">
        <f t="shared" si="11"/>
        <v>14</v>
      </c>
      <c r="L53" s="83">
        <f t="shared" si="11"/>
        <v>0</v>
      </c>
      <c r="M53" s="83">
        <f t="shared" si="11"/>
        <v>35</v>
      </c>
      <c r="N53" s="76"/>
      <c r="O53" s="77"/>
      <c r="P53" s="75"/>
    </row>
    <row r="54" spans="1:16" ht="14.25" customHeight="1" x14ac:dyDescent="0.3">
      <c r="A54" s="63">
        <v>4</v>
      </c>
      <c r="B54" s="64" t="s">
        <v>46</v>
      </c>
      <c r="C54" s="65"/>
      <c r="D54" s="66"/>
      <c r="E54" s="67"/>
      <c r="F54" s="82"/>
      <c r="G54" s="82"/>
      <c r="H54" s="82"/>
      <c r="I54" s="82"/>
      <c r="J54" s="82"/>
      <c r="K54" s="82"/>
      <c r="L54" s="82"/>
      <c r="M54" s="82"/>
      <c r="N54" s="69"/>
      <c r="O54" s="70"/>
      <c r="P54" s="68"/>
    </row>
    <row r="55" spans="1:16" ht="28.5" customHeight="1" x14ac:dyDescent="0.3">
      <c r="A55" s="102"/>
      <c r="B55" s="98" t="s">
        <v>57</v>
      </c>
      <c r="C55" s="99" t="s">
        <v>29</v>
      </c>
      <c r="D55" s="96">
        <v>175</v>
      </c>
      <c r="E55" s="101" t="s">
        <v>184</v>
      </c>
      <c r="F55" s="96">
        <f>10%*D55</f>
        <v>17.5</v>
      </c>
      <c r="G55" s="97">
        <v>0</v>
      </c>
      <c r="H55" s="96">
        <f t="shared" ref="H55:H61" si="12">SUM(F55:G55)</f>
        <v>17.5</v>
      </c>
      <c r="I55" s="97">
        <v>0</v>
      </c>
      <c r="J55" s="97"/>
      <c r="K55" s="97">
        <v>0</v>
      </c>
      <c r="L55" s="97">
        <v>0</v>
      </c>
      <c r="M55" s="97">
        <f t="shared" ref="M55:M61" si="13">SUM(I55:L55)</f>
        <v>0</v>
      </c>
      <c r="N55" s="35"/>
      <c r="O55" s="36" t="s">
        <v>93</v>
      </c>
      <c r="P55" s="16"/>
    </row>
    <row r="56" spans="1:16" ht="14.25" customHeight="1" x14ac:dyDescent="0.3">
      <c r="A56" s="13"/>
      <c r="B56" s="14" t="s">
        <v>58</v>
      </c>
      <c r="C56" s="15" t="s">
        <v>33</v>
      </c>
      <c r="D56" s="26">
        <v>270</v>
      </c>
      <c r="E56" s="47" t="s">
        <v>185</v>
      </c>
      <c r="F56" s="26">
        <f>10%*D56</f>
        <v>27</v>
      </c>
      <c r="G56" s="19">
        <v>0</v>
      </c>
      <c r="H56" s="26">
        <f t="shared" si="12"/>
        <v>27</v>
      </c>
      <c r="I56" s="19">
        <v>0</v>
      </c>
      <c r="J56" s="19"/>
      <c r="K56" s="19">
        <v>0</v>
      </c>
      <c r="L56" s="19">
        <v>0</v>
      </c>
      <c r="M56" s="19">
        <f t="shared" si="13"/>
        <v>0</v>
      </c>
      <c r="N56" s="35"/>
      <c r="O56" s="36"/>
      <c r="P56" s="16"/>
    </row>
    <row r="57" spans="1:16" ht="24" customHeight="1" x14ac:dyDescent="0.3">
      <c r="A57" s="13"/>
      <c r="B57" s="98" t="s">
        <v>59</v>
      </c>
      <c r="C57" s="99" t="s">
        <v>42</v>
      </c>
      <c r="D57" s="96">
        <v>798.93</v>
      </c>
      <c r="E57" s="101" t="s">
        <v>184</v>
      </c>
      <c r="F57" s="96">
        <f>10%*D57</f>
        <v>79.893000000000001</v>
      </c>
      <c r="G57" s="97">
        <v>0</v>
      </c>
      <c r="H57" s="96">
        <f t="shared" si="12"/>
        <v>79.893000000000001</v>
      </c>
      <c r="I57" s="97">
        <v>0</v>
      </c>
      <c r="J57" s="97"/>
      <c r="K57" s="97">
        <v>0</v>
      </c>
      <c r="L57" s="97">
        <v>0</v>
      </c>
      <c r="M57" s="97">
        <f t="shared" si="13"/>
        <v>0</v>
      </c>
      <c r="N57" s="35"/>
      <c r="O57" s="36"/>
      <c r="P57" s="16"/>
    </row>
    <row r="58" spans="1:16" ht="28.5" customHeight="1" x14ac:dyDescent="0.3">
      <c r="A58" s="13"/>
      <c r="B58" s="98" t="s">
        <v>60</v>
      </c>
      <c r="C58" s="99" t="s">
        <v>21</v>
      </c>
      <c r="D58" s="96">
        <v>1086.55</v>
      </c>
      <c r="E58" s="101" t="s">
        <v>186</v>
      </c>
      <c r="F58" s="96">
        <f>16%*D58</f>
        <v>173.84799999999998</v>
      </c>
      <c r="G58" s="97">
        <v>0</v>
      </c>
      <c r="H58" s="96">
        <f t="shared" si="12"/>
        <v>173.84799999999998</v>
      </c>
      <c r="I58" s="97">
        <v>0</v>
      </c>
      <c r="J58" s="97">
        <v>3</v>
      </c>
      <c r="K58" s="97">
        <v>3</v>
      </c>
      <c r="L58" s="97">
        <v>0</v>
      </c>
      <c r="M58" s="97">
        <f t="shared" si="13"/>
        <v>6</v>
      </c>
      <c r="N58" s="35"/>
      <c r="O58" s="36"/>
      <c r="P58" s="16"/>
    </row>
    <row r="59" spans="1:16" ht="17.25" customHeight="1" x14ac:dyDescent="0.3">
      <c r="A59" s="13"/>
      <c r="B59" s="98"/>
      <c r="C59" s="99"/>
      <c r="D59" s="96"/>
      <c r="E59" s="100" t="s">
        <v>185</v>
      </c>
      <c r="F59" s="96">
        <v>65</v>
      </c>
      <c r="G59" s="97">
        <v>0</v>
      </c>
      <c r="H59" s="96">
        <f t="shared" si="12"/>
        <v>65</v>
      </c>
      <c r="I59" s="97">
        <v>0</v>
      </c>
      <c r="J59" s="97"/>
      <c r="K59" s="97">
        <v>0</v>
      </c>
      <c r="L59" s="97">
        <v>0</v>
      </c>
      <c r="M59" s="97">
        <f t="shared" si="13"/>
        <v>0</v>
      </c>
      <c r="N59" s="35"/>
      <c r="O59" s="36"/>
      <c r="P59" s="16"/>
    </row>
    <row r="60" spans="1:16" ht="14.25" customHeight="1" x14ac:dyDescent="0.3">
      <c r="A60" s="16"/>
      <c r="B60" s="14" t="s">
        <v>61</v>
      </c>
      <c r="C60" s="15" t="s">
        <v>22</v>
      </c>
      <c r="D60" s="26">
        <v>1084.55</v>
      </c>
      <c r="E60" s="47" t="s">
        <v>134</v>
      </c>
      <c r="F60" s="26">
        <f>10%*D60</f>
        <v>108.455</v>
      </c>
      <c r="G60" s="19">
        <v>0</v>
      </c>
      <c r="H60" s="26">
        <f t="shared" si="12"/>
        <v>108.455</v>
      </c>
      <c r="I60" s="19">
        <v>0</v>
      </c>
      <c r="J60" s="19">
        <v>4</v>
      </c>
      <c r="K60" s="19">
        <v>3</v>
      </c>
      <c r="L60" s="19">
        <v>0</v>
      </c>
      <c r="M60" s="19">
        <f t="shared" si="13"/>
        <v>7</v>
      </c>
      <c r="N60" s="35"/>
      <c r="O60" s="36"/>
      <c r="P60" s="16"/>
    </row>
    <row r="61" spans="1:16" ht="14.25" customHeight="1" x14ac:dyDescent="0.3">
      <c r="A61" s="87"/>
      <c r="B61" s="55" t="s">
        <v>62</v>
      </c>
      <c r="C61" s="56" t="s">
        <v>43</v>
      </c>
      <c r="D61" s="57">
        <v>33</v>
      </c>
      <c r="E61" s="47" t="s">
        <v>53</v>
      </c>
      <c r="F61" s="26">
        <f>10%*D61</f>
        <v>3.3000000000000003</v>
      </c>
      <c r="G61" s="19">
        <v>0</v>
      </c>
      <c r="H61" s="26">
        <f t="shared" si="12"/>
        <v>3.3000000000000003</v>
      </c>
      <c r="I61" s="19">
        <v>0</v>
      </c>
      <c r="J61" s="19">
        <v>4</v>
      </c>
      <c r="K61" s="19">
        <v>0</v>
      </c>
      <c r="L61" s="19">
        <v>0</v>
      </c>
      <c r="M61" s="19">
        <f t="shared" si="13"/>
        <v>4</v>
      </c>
      <c r="N61" s="80"/>
      <c r="O61" s="81"/>
      <c r="P61" s="87"/>
    </row>
    <row r="62" spans="1:16" ht="14.25" customHeight="1" x14ac:dyDescent="0.3">
      <c r="A62" s="75"/>
      <c r="B62" s="71"/>
      <c r="C62" s="72"/>
      <c r="D62" s="73">
        <f>SUM(D55:D61)</f>
        <v>3448.0299999999997</v>
      </c>
      <c r="E62" s="74"/>
      <c r="F62" s="73">
        <f t="shared" ref="F62:K62" si="14">SUM(F55:F61)</f>
        <v>474.99599999999998</v>
      </c>
      <c r="G62" s="83">
        <f t="shared" si="14"/>
        <v>0</v>
      </c>
      <c r="H62" s="73">
        <f t="shared" si="14"/>
        <v>474.99599999999998</v>
      </c>
      <c r="I62" s="83">
        <f t="shared" si="14"/>
        <v>0</v>
      </c>
      <c r="J62" s="83">
        <f t="shared" si="14"/>
        <v>11</v>
      </c>
      <c r="K62" s="83">
        <f t="shared" si="14"/>
        <v>6</v>
      </c>
      <c r="L62" s="83"/>
      <c r="M62" s="83">
        <f>SUM(M55:M61)</f>
        <v>17</v>
      </c>
      <c r="N62" s="76"/>
      <c r="O62" s="77"/>
      <c r="P62" s="75"/>
    </row>
    <row r="63" spans="1:16" ht="14.25" customHeight="1" x14ac:dyDescent="0.3">
      <c r="A63" s="63">
        <v>5</v>
      </c>
      <c r="B63" s="64" t="s">
        <v>96</v>
      </c>
      <c r="C63" s="65"/>
      <c r="D63" s="66"/>
      <c r="E63" s="67"/>
      <c r="F63" s="66"/>
      <c r="G63" s="82"/>
      <c r="H63" s="66"/>
      <c r="I63" s="82"/>
      <c r="J63" s="82"/>
      <c r="K63" s="82"/>
      <c r="L63" s="82"/>
      <c r="M63" s="82"/>
      <c r="N63" s="69"/>
      <c r="O63" s="70"/>
      <c r="P63" s="68"/>
    </row>
    <row r="64" spans="1:16" ht="14.25" customHeight="1" x14ac:dyDescent="0.3">
      <c r="A64" s="16"/>
      <c r="B64" s="14" t="s">
        <v>57</v>
      </c>
      <c r="C64" s="15" t="s">
        <v>22</v>
      </c>
      <c r="D64" s="26">
        <v>9.5</v>
      </c>
      <c r="E64" s="47" t="s">
        <v>163</v>
      </c>
      <c r="F64" s="26">
        <f>10%*D64</f>
        <v>0.95000000000000007</v>
      </c>
      <c r="G64" s="19">
        <v>0</v>
      </c>
      <c r="H64" s="26">
        <f t="shared" ref="H64:H72" si="15">SUM(F64:G64)</f>
        <v>0.95000000000000007</v>
      </c>
      <c r="I64" s="19">
        <v>0</v>
      </c>
      <c r="J64" s="19"/>
      <c r="K64" s="19">
        <v>0</v>
      </c>
      <c r="L64" s="19">
        <v>0</v>
      </c>
      <c r="M64" s="19">
        <f>SUM(I64:L64)</f>
        <v>0</v>
      </c>
      <c r="N64" s="35"/>
      <c r="O64" s="36" t="s">
        <v>136</v>
      </c>
      <c r="P64" s="16"/>
    </row>
    <row r="65" spans="1:16" ht="14.25" customHeight="1" x14ac:dyDescent="0.3">
      <c r="A65" s="16"/>
      <c r="B65" s="14" t="s">
        <v>58</v>
      </c>
      <c r="C65" s="15" t="s">
        <v>21</v>
      </c>
      <c r="D65" s="26">
        <v>17.11</v>
      </c>
      <c r="E65" s="47" t="s">
        <v>164</v>
      </c>
      <c r="F65" s="26">
        <f>10%*D65</f>
        <v>1.7110000000000001</v>
      </c>
      <c r="G65" s="19">
        <v>0</v>
      </c>
      <c r="H65" s="26">
        <f t="shared" si="15"/>
        <v>1.7110000000000001</v>
      </c>
      <c r="I65" s="19">
        <v>0</v>
      </c>
      <c r="J65" s="19">
        <v>2</v>
      </c>
      <c r="K65" s="19">
        <v>0</v>
      </c>
      <c r="L65" s="19">
        <v>0</v>
      </c>
      <c r="M65" s="19">
        <f t="shared" ref="M65:M72" si="16">SUM(I65:L65)</f>
        <v>2</v>
      </c>
      <c r="N65" s="35"/>
      <c r="O65" s="36" t="s">
        <v>50</v>
      </c>
      <c r="P65" s="16"/>
    </row>
    <row r="66" spans="1:16" ht="30.75" customHeight="1" x14ac:dyDescent="0.3">
      <c r="A66" s="16"/>
      <c r="B66" s="14"/>
      <c r="C66" s="15"/>
      <c r="D66" s="26"/>
      <c r="E66" s="49" t="s">
        <v>187</v>
      </c>
      <c r="F66" s="96">
        <v>1</v>
      </c>
      <c r="G66" s="97">
        <v>0</v>
      </c>
      <c r="H66" s="96">
        <f t="shared" si="15"/>
        <v>1</v>
      </c>
      <c r="I66" s="97">
        <v>0</v>
      </c>
      <c r="J66" s="97">
        <v>0</v>
      </c>
      <c r="K66" s="97">
        <v>0</v>
      </c>
      <c r="L66" s="97">
        <v>0</v>
      </c>
      <c r="M66" s="97">
        <f t="shared" si="16"/>
        <v>0</v>
      </c>
      <c r="N66" s="35"/>
      <c r="O66" s="36"/>
      <c r="P66" s="16"/>
    </row>
    <row r="67" spans="1:16" ht="14.25" customHeight="1" x14ac:dyDescent="0.3">
      <c r="A67" s="16"/>
      <c r="B67" s="14" t="s">
        <v>59</v>
      </c>
      <c r="C67" s="15" t="s">
        <v>43</v>
      </c>
      <c r="D67" s="26">
        <v>17.79</v>
      </c>
      <c r="E67" s="47" t="s">
        <v>163</v>
      </c>
      <c r="F67" s="26">
        <f t="shared" ref="F67:F72" si="17">10%*D67</f>
        <v>1.7789999999999999</v>
      </c>
      <c r="G67" s="19">
        <v>0</v>
      </c>
      <c r="H67" s="26">
        <f t="shared" si="15"/>
        <v>1.7789999999999999</v>
      </c>
      <c r="I67" s="19">
        <v>0</v>
      </c>
      <c r="J67" s="19">
        <v>2</v>
      </c>
      <c r="K67" s="19">
        <v>1</v>
      </c>
      <c r="L67" s="19">
        <v>0</v>
      </c>
      <c r="M67" s="19">
        <f t="shared" si="16"/>
        <v>3</v>
      </c>
      <c r="N67" s="35"/>
      <c r="O67" s="36" t="s">
        <v>137</v>
      </c>
      <c r="P67" s="16"/>
    </row>
    <row r="68" spans="1:16" ht="14.25" customHeight="1" x14ac:dyDescent="0.3">
      <c r="A68" s="16"/>
      <c r="B68" s="14" t="s">
        <v>60</v>
      </c>
      <c r="C68" s="15" t="s">
        <v>44</v>
      </c>
      <c r="D68" s="26">
        <v>30.5</v>
      </c>
      <c r="E68" s="47" t="s">
        <v>164</v>
      </c>
      <c r="F68" s="26">
        <f t="shared" si="17"/>
        <v>3.0500000000000003</v>
      </c>
      <c r="G68" s="19">
        <v>0</v>
      </c>
      <c r="H68" s="26">
        <f t="shared" si="15"/>
        <v>3.0500000000000003</v>
      </c>
      <c r="I68" s="19">
        <v>0</v>
      </c>
      <c r="J68" s="19">
        <v>0</v>
      </c>
      <c r="K68" s="19">
        <v>0</v>
      </c>
      <c r="L68" s="19">
        <v>0</v>
      </c>
      <c r="M68" s="19">
        <f t="shared" si="16"/>
        <v>0</v>
      </c>
      <c r="N68" s="35"/>
      <c r="O68" s="36" t="s">
        <v>145</v>
      </c>
      <c r="P68" s="16"/>
    </row>
    <row r="69" spans="1:16" ht="14.25" customHeight="1" x14ac:dyDescent="0.3">
      <c r="A69" s="16"/>
      <c r="B69" s="14" t="s">
        <v>61</v>
      </c>
      <c r="C69" s="15" t="s">
        <v>33</v>
      </c>
      <c r="D69" s="26">
        <v>5.2</v>
      </c>
      <c r="E69" s="47" t="s">
        <v>163</v>
      </c>
      <c r="F69" s="26">
        <f t="shared" si="17"/>
        <v>0.52</v>
      </c>
      <c r="G69" s="19">
        <v>0</v>
      </c>
      <c r="H69" s="26">
        <f t="shared" si="15"/>
        <v>0.52</v>
      </c>
      <c r="I69" s="19">
        <v>0</v>
      </c>
      <c r="J69" s="19">
        <v>0</v>
      </c>
      <c r="K69" s="19">
        <v>0</v>
      </c>
      <c r="L69" s="19">
        <v>0</v>
      </c>
      <c r="M69" s="19">
        <f t="shared" si="16"/>
        <v>0</v>
      </c>
      <c r="N69" s="35"/>
      <c r="O69" s="36" t="s">
        <v>146</v>
      </c>
      <c r="P69" s="16"/>
    </row>
    <row r="70" spans="1:16" ht="14.25" customHeight="1" x14ac:dyDescent="0.3">
      <c r="A70" s="16"/>
      <c r="B70" s="14" t="s">
        <v>62</v>
      </c>
      <c r="C70" s="15" t="s">
        <v>32</v>
      </c>
      <c r="D70" s="26">
        <v>0.25</v>
      </c>
      <c r="E70" s="47" t="s">
        <v>163</v>
      </c>
      <c r="F70" s="26">
        <f t="shared" si="17"/>
        <v>2.5000000000000001E-2</v>
      </c>
      <c r="G70" s="19">
        <v>0</v>
      </c>
      <c r="H70" s="26">
        <f t="shared" si="15"/>
        <v>2.5000000000000001E-2</v>
      </c>
      <c r="I70" s="19">
        <v>0</v>
      </c>
      <c r="J70" s="19">
        <v>0</v>
      </c>
      <c r="K70" s="19">
        <v>0</v>
      </c>
      <c r="L70" s="19">
        <v>0</v>
      </c>
      <c r="M70" s="19">
        <f t="shared" si="16"/>
        <v>0</v>
      </c>
      <c r="N70" s="35"/>
      <c r="O70" s="36"/>
      <c r="P70" s="16"/>
    </row>
    <row r="71" spans="1:16" ht="14.25" customHeight="1" x14ac:dyDescent="0.3">
      <c r="A71" s="16"/>
      <c r="B71" s="14">
        <v>9</v>
      </c>
      <c r="C71" s="15" t="s">
        <v>30</v>
      </c>
      <c r="D71" s="26">
        <v>9.5</v>
      </c>
      <c r="E71" s="47" t="s">
        <v>163</v>
      </c>
      <c r="F71" s="26">
        <f t="shared" si="17"/>
        <v>0.95000000000000007</v>
      </c>
      <c r="G71" s="19">
        <v>0</v>
      </c>
      <c r="H71" s="26">
        <f t="shared" si="15"/>
        <v>0.95000000000000007</v>
      </c>
      <c r="I71" s="19">
        <v>0</v>
      </c>
      <c r="J71" s="19">
        <v>0</v>
      </c>
      <c r="K71" s="19">
        <v>0</v>
      </c>
      <c r="L71" s="19">
        <v>0</v>
      </c>
      <c r="M71" s="19">
        <f t="shared" si="16"/>
        <v>0</v>
      </c>
      <c r="N71" s="35"/>
      <c r="O71" s="36"/>
      <c r="P71" s="16"/>
    </row>
    <row r="72" spans="1:16" ht="14.25" customHeight="1" x14ac:dyDescent="0.3">
      <c r="A72" s="87"/>
      <c r="B72" s="55" t="s">
        <v>64</v>
      </c>
      <c r="C72" s="56" t="s">
        <v>31</v>
      </c>
      <c r="D72" s="57">
        <v>4</v>
      </c>
      <c r="E72" s="85" t="s">
        <v>164</v>
      </c>
      <c r="F72" s="26">
        <f t="shared" si="17"/>
        <v>0.4</v>
      </c>
      <c r="G72" s="19">
        <v>0</v>
      </c>
      <c r="H72" s="26">
        <f t="shared" si="15"/>
        <v>0.4</v>
      </c>
      <c r="I72" s="79">
        <v>0</v>
      </c>
      <c r="J72" s="79">
        <v>0</v>
      </c>
      <c r="K72" s="79">
        <v>0</v>
      </c>
      <c r="L72" s="79">
        <v>0</v>
      </c>
      <c r="M72" s="79">
        <f t="shared" si="16"/>
        <v>0</v>
      </c>
      <c r="N72" s="80"/>
      <c r="O72" s="81"/>
      <c r="P72" s="87"/>
    </row>
    <row r="73" spans="1:16" ht="14.25" customHeight="1" x14ac:dyDescent="0.3">
      <c r="A73" s="75"/>
      <c r="B73" s="71"/>
      <c r="C73" s="72"/>
      <c r="D73" s="73">
        <f>SUM(D64:D72)</f>
        <v>93.850000000000009</v>
      </c>
      <c r="E73" s="74"/>
      <c r="F73" s="73">
        <f t="shared" ref="F73:K73" si="18">SUM(F64:F72)</f>
        <v>10.385</v>
      </c>
      <c r="G73" s="83">
        <f t="shared" si="18"/>
        <v>0</v>
      </c>
      <c r="H73" s="73">
        <f t="shared" si="18"/>
        <v>10.385</v>
      </c>
      <c r="I73" s="83">
        <f t="shared" si="18"/>
        <v>0</v>
      </c>
      <c r="J73" s="83">
        <f t="shared" si="18"/>
        <v>4</v>
      </c>
      <c r="K73" s="83">
        <f t="shared" si="18"/>
        <v>1</v>
      </c>
      <c r="L73" s="83">
        <f t="shared" ref="L73" si="19">SUM(L49:L56)</f>
        <v>0</v>
      </c>
      <c r="M73" s="83">
        <f>SUM(M64:M72)</f>
        <v>5</v>
      </c>
      <c r="N73" s="76"/>
      <c r="O73" s="77"/>
      <c r="P73" s="75"/>
    </row>
    <row r="74" spans="1:16" ht="14.25" customHeight="1" x14ac:dyDescent="0.3">
      <c r="A74" s="103">
        <v>6</v>
      </c>
      <c r="B74" s="104" t="s">
        <v>116</v>
      </c>
      <c r="C74" s="104"/>
      <c r="D74" s="105"/>
      <c r="E74" s="106"/>
      <c r="F74" s="105"/>
      <c r="G74" s="107"/>
      <c r="H74" s="105"/>
      <c r="I74" s="107"/>
      <c r="J74" s="107"/>
      <c r="K74" s="107"/>
      <c r="L74" s="107"/>
      <c r="M74" s="107"/>
      <c r="N74" s="114"/>
      <c r="O74" s="112"/>
      <c r="P74" s="104"/>
    </row>
    <row r="75" spans="1:16" ht="51.75" customHeight="1" x14ac:dyDescent="0.3">
      <c r="A75" s="16"/>
      <c r="B75" s="98" t="s">
        <v>57</v>
      </c>
      <c r="C75" s="99" t="s">
        <v>30</v>
      </c>
      <c r="D75" s="96">
        <v>24.5</v>
      </c>
      <c r="E75" s="101" t="s">
        <v>188</v>
      </c>
      <c r="F75" s="96">
        <f>10%*D75</f>
        <v>2.4500000000000002</v>
      </c>
      <c r="G75" s="97">
        <v>0</v>
      </c>
      <c r="H75" s="96">
        <f t="shared" ref="H75:H80" si="20">SUM(F75:G75)</f>
        <v>2.4500000000000002</v>
      </c>
      <c r="I75" s="97">
        <v>0</v>
      </c>
      <c r="J75" s="97"/>
      <c r="K75" s="97">
        <v>0</v>
      </c>
      <c r="L75" s="97">
        <v>0</v>
      </c>
      <c r="M75" s="97">
        <f>SUM(I75:L75)</f>
        <v>0</v>
      </c>
      <c r="N75" s="35"/>
      <c r="O75" s="40" t="s">
        <v>189</v>
      </c>
      <c r="P75" s="16"/>
    </row>
    <row r="76" spans="1:16" ht="23.25" customHeight="1" x14ac:dyDescent="0.3">
      <c r="A76" s="16"/>
      <c r="B76" s="98"/>
      <c r="C76" s="99"/>
      <c r="D76" s="96"/>
      <c r="E76" s="100" t="s">
        <v>182</v>
      </c>
      <c r="F76" s="96">
        <v>3</v>
      </c>
      <c r="G76" s="97">
        <v>0</v>
      </c>
      <c r="H76" s="96">
        <f t="shared" si="20"/>
        <v>3</v>
      </c>
      <c r="I76" s="97">
        <v>0</v>
      </c>
      <c r="J76" s="97"/>
      <c r="K76" s="97">
        <v>0</v>
      </c>
      <c r="L76" s="97">
        <v>0</v>
      </c>
      <c r="M76" s="97">
        <f>SUM(I76:L76)</f>
        <v>0</v>
      </c>
      <c r="N76" s="35"/>
      <c r="O76" s="36"/>
      <c r="P76" s="16"/>
    </row>
    <row r="77" spans="1:16" ht="14.25" customHeight="1" x14ac:dyDescent="0.3">
      <c r="A77" s="16"/>
      <c r="B77" s="14" t="s">
        <v>58</v>
      </c>
      <c r="C77" s="15" t="s">
        <v>44</v>
      </c>
      <c r="D77" s="26">
        <v>72.03</v>
      </c>
      <c r="E77" s="47" t="s">
        <v>182</v>
      </c>
      <c r="F77" s="26">
        <f>10%*D77</f>
        <v>7.2030000000000003</v>
      </c>
      <c r="G77" s="19">
        <v>0</v>
      </c>
      <c r="H77" s="26">
        <f t="shared" si="20"/>
        <v>7.2030000000000003</v>
      </c>
      <c r="I77" s="19">
        <v>0</v>
      </c>
      <c r="J77" s="19">
        <v>2</v>
      </c>
      <c r="K77" s="19">
        <v>0</v>
      </c>
      <c r="L77" s="19">
        <v>0</v>
      </c>
      <c r="M77" s="19">
        <f t="shared" ref="M77:M80" si="21">SUM(I77:L77)</f>
        <v>2</v>
      </c>
      <c r="N77" s="35"/>
      <c r="O77" s="36"/>
      <c r="P77" s="16"/>
    </row>
    <row r="78" spans="1:16" ht="25.5" customHeight="1" x14ac:dyDescent="0.3">
      <c r="A78" s="16"/>
      <c r="B78" s="14"/>
      <c r="C78" s="15"/>
      <c r="D78" s="26"/>
      <c r="E78" s="101" t="s">
        <v>181</v>
      </c>
      <c r="F78" s="96">
        <v>3</v>
      </c>
      <c r="G78" s="97">
        <v>0</v>
      </c>
      <c r="H78" s="96">
        <f t="shared" si="20"/>
        <v>3</v>
      </c>
      <c r="I78" s="97">
        <v>0</v>
      </c>
      <c r="J78" s="97"/>
      <c r="K78" s="97">
        <v>0</v>
      </c>
      <c r="L78" s="97">
        <v>0</v>
      </c>
      <c r="M78" s="97">
        <f>SUM(I78:L78)</f>
        <v>0</v>
      </c>
      <c r="N78" s="35"/>
      <c r="O78" s="36"/>
      <c r="P78" s="16"/>
    </row>
    <row r="79" spans="1:16" ht="23.25" customHeight="1" x14ac:dyDescent="0.3">
      <c r="A79" s="16"/>
      <c r="B79" s="14" t="s">
        <v>59</v>
      </c>
      <c r="C79" s="15" t="s">
        <v>33</v>
      </c>
      <c r="D79" s="26">
        <v>14.2</v>
      </c>
      <c r="E79" s="101" t="s">
        <v>181</v>
      </c>
      <c r="F79" s="26">
        <f>10%*D79</f>
        <v>1.42</v>
      </c>
      <c r="G79" s="19">
        <v>0</v>
      </c>
      <c r="H79" s="26">
        <f t="shared" si="20"/>
        <v>1.42</v>
      </c>
      <c r="I79" s="19">
        <v>0</v>
      </c>
      <c r="J79" s="19"/>
      <c r="K79" s="19">
        <v>1</v>
      </c>
      <c r="L79" s="19">
        <v>0</v>
      </c>
      <c r="M79" s="19">
        <f t="shared" si="21"/>
        <v>1</v>
      </c>
      <c r="N79" s="35"/>
      <c r="O79" s="36"/>
      <c r="P79" s="16"/>
    </row>
    <row r="80" spans="1:16" ht="40.5" customHeight="1" x14ac:dyDescent="0.3">
      <c r="A80" s="16"/>
      <c r="B80" s="122" t="s">
        <v>61</v>
      </c>
      <c r="C80" s="123" t="s">
        <v>35</v>
      </c>
      <c r="D80" s="124">
        <v>35.72</v>
      </c>
      <c r="E80" s="101" t="s">
        <v>183</v>
      </c>
      <c r="F80" s="96">
        <f>10%*D80</f>
        <v>3.5720000000000001</v>
      </c>
      <c r="G80" s="97">
        <v>0</v>
      </c>
      <c r="H80" s="96">
        <f t="shared" si="20"/>
        <v>3.5720000000000001</v>
      </c>
      <c r="I80" s="97">
        <v>0</v>
      </c>
      <c r="J80" s="97">
        <v>0</v>
      </c>
      <c r="K80" s="97">
        <v>0</v>
      </c>
      <c r="L80" s="97">
        <v>0</v>
      </c>
      <c r="M80" s="97">
        <f t="shared" si="21"/>
        <v>0</v>
      </c>
      <c r="N80" s="35"/>
      <c r="O80" s="36"/>
      <c r="P80" s="16"/>
    </row>
    <row r="81" spans="1:16" ht="15.75" customHeight="1" x14ac:dyDescent="0.3">
      <c r="A81" s="68"/>
      <c r="B81" s="128"/>
      <c r="C81" s="126"/>
      <c r="D81" s="127">
        <f>SUM(D75:D80)</f>
        <v>146.44999999999999</v>
      </c>
      <c r="E81" s="129"/>
      <c r="F81" s="130"/>
      <c r="G81" s="131"/>
      <c r="H81" s="130"/>
      <c r="I81" s="131"/>
      <c r="J81" s="131"/>
      <c r="K81" s="131"/>
      <c r="L81" s="131"/>
      <c r="M81" s="131"/>
      <c r="N81" s="69"/>
      <c r="O81" s="70"/>
      <c r="P81" s="87"/>
    </row>
    <row r="82" spans="1:16" ht="16.5" customHeight="1" x14ac:dyDescent="0.3">
      <c r="A82" s="103">
        <v>7</v>
      </c>
      <c r="B82" s="8" t="s">
        <v>117</v>
      </c>
      <c r="C82" s="10"/>
      <c r="D82" s="90"/>
      <c r="E82" s="106"/>
      <c r="F82" s="105"/>
      <c r="G82" s="107"/>
      <c r="H82" s="105"/>
      <c r="I82" s="107"/>
      <c r="J82" s="107"/>
      <c r="K82" s="107"/>
      <c r="L82" s="107"/>
      <c r="M82" s="107"/>
      <c r="N82" s="114"/>
      <c r="O82" s="112"/>
      <c r="P82" s="87"/>
    </row>
    <row r="83" spans="1:16" ht="27.75" customHeight="1" x14ac:dyDescent="0.3">
      <c r="A83" s="16"/>
      <c r="B83" s="14" t="s">
        <v>57</v>
      </c>
      <c r="C83" s="15" t="s">
        <v>22</v>
      </c>
      <c r="D83" s="26">
        <v>296.95</v>
      </c>
      <c r="E83" s="101" t="s">
        <v>203</v>
      </c>
      <c r="F83" s="96">
        <f>10%*D83</f>
        <v>29.695</v>
      </c>
      <c r="G83" s="97">
        <v>0</v>
      </c>
      <c r="H83" s="96">
        <f t="shared" ref="H83:H88" si="22">SUM(F83:G83)</f>
        <v>29.695</v>
      </c>
      <c r="I83" s="97">
        <v>0</v>
      </c>
      <c r="J83" s="97"/>
      <c r="K83" s="97">
        <v>0</v>
      </c>
      <c r="L83" s="97">
        <v>3</v>
      </c>
      <c r="M83" s="97">
        <f>SUM(I83:L83)</f>
        <v>3</v>
      </c>
      <c r="N83" s="35"/>
      <c r="O83" s="40" t="s">
        <v>204</v>
      </c>
      <c r="P83" s="87"/>
    </row>
    <row r="84" spans="1:16" ht="23.25" customHeight="1" x14ac:dyDescent="0.3">
      <c r="A84" s="16"/>
      <c r="B84" s="14" t="s">
        <v>58</v>
      </c>
      <c r="C84" s="15" t="s">
        <v>42</v>
      </c>
      <c r="D84" s="26">
        <v>190.5</v>
      </c>
      <c r="E84" s="101" t="s">
        <v>203</v>
      </c>
      <c r="F84" s="96">
        <f>10%*D84</f>
        <v>19.05</v>
      </c>
      <c r="G84" s="97">
        <v>0</v>
      </c>
      <c r="H84" s="96">
        <f t="shared" si="22"/>
        <v>19.05</v>
      </c>
      <c r="I84" s="97">
        <v>0</v>
      </c>
      <c r="J84" s="97"/>
      <c r="K84" s="97">
        <v>0</v>
      </c>
      <c r="L84" s="97">
        <v>0</v>
      </c>
      <c r="M84" s="97">
        <f>SUM(I84:L84)</f>
        <v>0</v>
      </c>
      <c r="N84" s="35"/>
      <c r="O84" s="36"/>
      <c r="P84" s="87"/>
    </row>
    <row r="85" spans="1:16" ht="20.25" customHeight="1" x14ac:dyDescent="0.3">
      <c r="A85" s="16"/>
      <c r="B85" s="14" t="s">
        <v>59</v>
      </c>
      <c r="C85" s="15" t="s">
        <v>21</v>
      </c>
      <c r="D85" s="18" t="s">
        <v>201</v>
      </c>
      <c r="E85" s="101" t="s">
        <v>203</v>
      </c>
      <c r="F85" s="96">
        <v>3</v>
      </c>
      <c r="G85" s="97">
        <v>0</v>
      </c>
      <c r="H85" s="96">
        <f t="shared" ref="H85" si="23">SUM(F85:G85)</f>
        <v>3</v>
      </c>
      <c r="I85" s="97">
        <v>0</v>
      </c>
      <c r="J85" s="97"/>
      <c r="K85" s="97">
        <v>0</v>
      </c>
      <c r="L85" s="97">
        <v>0</v>
      </c>
      <c r="M85" s="97">
        <f>SUM(I85:L85)</f>
        <v>0</v>
      </c>
      <c r="N85" s="35"/>
      <c r="O85" s="36"/>
      <c r="P85" s="87"/>
    </row>
    <row r="86" spans="1:16" ht="27" customHeight="1" x14ac:dyDescent="0.3">
      <c r="A86" s="16"/>
      <c r="B86" s="14" t="s">
        <v>60</v>
      </c>
      <c r="C86" s="15" t="s">
        <v>43</v>
      </c>
      <c r="D86" s="26">
        <v>244.8</v>
      </c>
      <c r="E86" s="101" t="s">
        <v>203</v>
      </c>
      <c r="F86" s="96">
        <f>10%*D86</f>
        <v>24.480000000000004</v>
      </c>
      <c r="G86" s="97">
        <v>0</v>
      </c>
      <c r="H86" s="96">
        <f t="shared" si="22"/>
        <v>24.480000000000004</v>
      </c>
      <c r="I86" s="97">
        <v>0</v>
      </c>
      <c r="J86" s="97"/>
      <c r="K86" s="97">
        <v>0</v>
      </c>
      <c r="L86" s="97">
        <v>2</v>
      </c>
      <c r="M86" s="97">
        <f>SUM(I86:L86)</f>
        <v>2</v>
      </c>
      <c r="N86" s="35"/>
      <c r="O86" s="36"/>
      <c r="P86" s="87"/>
    </row>
    <row r="87" spans="1:16" ht="24" customHeight="1" x14ac:dyDescent="0.3">
      <c r="A87" s="16"/>
      <c r="B87" s="14" t="s">
        <v>61</v>
      </c>
      <c r="C87" s="15" t="s">
        <v>44</v>
      </c>
      <c r="D87" s="26">
        <v>57.95</v>
      </c>
      <c r="E87" s="101" t="s">
        <v>203</v>
      </c>
      <c r="F87" s="26">
        <f>10%*D87</f>
        <v>5.7950000000000008</v>
      </c>
      <c r="G87" s="19">
        <v>0</v>
      </c>
      <c r="H87" s="26">
        <f t="shared" si="22"/>
        <v>5.7950000000000008</v>
      </c>
      <c r="I87" s="19">
        <v>0</v>
      </c>
      <c r="J87" s="19"/>
      <c r="K87" s="19"/>
      <c r="L87" s="19">
        <v>0</v>
      </c>
      <c r="M87" s="19">
        <f t="shared" ref="M87:M88" si="24">SUM(I87:L87)</f>
        <v>0</v>
      </c>
      <c r="N87" s="35"/>
      <c r="O87" s="36"/>
      <c r="P87" s="87"/>
    </row>
    <row r="88" spans="1:16" ht="26.25" customHeight="1" x14ac:dyDescent="0.3">
      <c r="A88" s="16"/>
      <c r="B88" s="14" t="s">
        <v>62</v>
      </c>
      <c r="C88" s="15" t="s">
        <v>27</v>
      </c>
      <c r="D88" s="26">
        <v>2.5</v>
      </c>
      <c r="E88" s="101" t="s">
        <v>203</v>
      </c>
      <c r="F88" s="96">
        <f>10%*D88</f>
        <v>0.25</v>
      </c>
      <c r="G88" s="97">
        <v>0</v>
      </c>
      <c r="H88" s="96">
        <f t="shared" si="22"/>
        <v>0.25</v>
      </c>
      <c r="I88" s="97">
        <v>0</v>
      </c>
      <c r="J88" s="97">
        <v>0</v>
      </c>
      <c r="K88" s="97">
        <v>0</v>
      </c>
      <c r="L88" s="97">
        <v>0</v>
      </c>
      <c r="M88" s="97">
        <f t="shared" si="24"/>
        <v>0</v>
      </c>
      <c r="N88" s="35"/>
      <c r="O88" s="36"/>
      <c r="P88" s="87"/>
    </row>
    <row r="89" spans="1:16" ht="14.25" customHeight="1" x14ac:dyDescent="0.3">
      <c r="A89" s="108"/>
      <c r="B89" s="117"/>
      <c r="C89" s="116"/>
      <c r="D89" s="109"/>
      <c r="E89" s="110"/>
      <c r="F89" s="109"/>
      <c r="G89" s="111"/>
      <c r="H89" s="109"/>
      <c r="I89" s="111"/>
      <c r="J89" s="111"/>
      <c r="K89" s="111"/>
      <c r="L89" s="111"/>
      <c r="M89" s="111"/>
      <c r="N89" s="115"/>
      <c r="O89" s="113"/>
      <c r="P89" s="108"/>
    </row>
    <row r="90" spans="1:16" ht="14.25" customHeight="1" x14ac:dyDescent="0.3">
      <c r="A90" s="75"/>
      <c r="B90" s="71"/>
      <c r="C90" s="72"/>
      <c r="D90" s="73">
        <f>SUM(D83:D89)</f>
        <v>792.7</v>
      </c>
      <c r="E90" s="74"/>
      <c r="F90" s="73">
        <f>SUM(F75:F89)</f>
        <v>102.91500000000001</v>
      </c>
      <c r="G90" s="83">
        <f>SUM(G75:G89)</f>
        <v>0</v>
      </c>
      <c r="H90" s="73">
        <f>SUM(H75:H89)</f>
        <v>102.91500000000001</v>
      </c>
      <c r="I90" s="83"/>
      <c r="J90" s="83"/>
      <c r="K90" s="83"/>
      <c r="L90" s="83"/>
      <c r="M90" s="83"/>
      <c r="N90" s="76"/>
      <c r="O90" s="77"/>
      <c r="P90" s="75"/>
    </row>
    <row r="91" spans="1:16" ht="8.25" customHeight="1" x14ac:dyDescent="0.3">
      <c r="A91" s="6"/>
      <c r="B91" s="9"/>
      <c r="C91" s="11"/>
      <c r="D91" s="6"/>
      <c r="E91" s="52"/>
      <c r="F91" s="7"/>
      <c r="G91" s="7"/>
      <c r="H91" s="7"/>
      <c r="I91" s="7"/>
      <c r="J91" s="7"/>
      <c r="K91" s="7"/>
      <c r="L91" s="7"/>
      <c r="M91" s="7"/>
      <c r="N91" s="9"/>
      <c r="O91" s="11"/>
      <c r="P91" s="6"/>
    </row>
    <row r="92" spans="1:16" ht="8.25" customHeight="1" x14ac:dyDescent="0.3">
      <c r="F92" s="2"/>
      <c r="G92" s="2"/>
      <c r="H92" s="2"/>
      <c r="I92" s="2"/>
      <c r="J92" s="2"/>
      <c r="K92" s="2"/>
      <c r="L92" s="2"/>
      <c r="M92" s="2"/>
    </row>
    <row r="93" spans="1:16" x14ac:dyDescent="0.3">
      <c r="F93" s="2"/>
      <c r="G93" s="2"/>
      <c r="H93" s="2"/>
      <c r="I93" s="2"/>
      <c r="J93" s="2" t="s">
        <v>205</v>
      </c>
      <c r="K93" s="2"/>
      <c r="L93" s="2"/>
      <c r="M93" s="2"/>
    </row>
    <row r="94" spans="1:16" ht="12" customHeight="1" x14ac:dyDescent="0.3">
      <c r="A94" s="395" t="s">
        <v>80</v>
      </c>
      <c r="B94" s="395"/>
      <c r="C94" s="395"/>
      <c r="D94" s="395"/>
    </row>
    <row r="95" spans="1:16" x14ac:dyDescent="0.3">
      <c r="A95" s="395" t="s">
        <v>81</v>
      </c>
      <c r="B95" s="395"/>
      <c r="C95" s="395"/>
      <c r="D95" s="395"/>
      <c r="J95" s="1" t="s">
        <v>85</v>
      </c>
    </row>
    <row r="96" spans="1:16" x14ac:dyDescent="0.3">
      <c r="A96" s="395" t="s">
        <v>82</v>
      </c>
      <c r="B96" s="395"/>
      <c r="C96" s="395"/>
      <c r="D96" s="395"/>
      <c r="J96" s="3" t="s">
        <v>86</v>
      </c>
      <c r="K96" s="1" t="s">
        <v>87</v>
      </c>
      <c r="O96" s="1" t="s">
        <v>90</v>
      </c>
    </row>
    <row r="97" spans="1:15" x14ac:dyDescent="0.3">
      <c r="A97" s="395" t="s">
        <v>83</v>
      </c>
      <c r="B97" s="395"/>
      <c r="C97" s="395"/>
      <c r="D97" s="395"/>
      <c r="K97" s="1" t="s">
        <v>91</v>
      </c>
    </row>
    <row r="98" spans="1:15" ht="13.5" customHeight="1" x14ac:dyDescent="0.3"/>
    <row r="99" spans="1:15" ht="13.5" customHeight="1" x14ac:dyDescent="0.3"/>
    <row r="100" spans="1:15" x14ac:dyDescent="0.3">
      <c r="A100" s="398" t="s">
        <v>175</v>
      </c>
      <c r="B100" s="398"/>
      <c r="C100" s="398"/>
      <c r="D100" s="398"/>
      <c r="J100" s="3" t="s">
        <v>88</v>
      </c>
      <c r="K100" s="1" t="s">
        <v>89</v>
      </c>
      <c r="O100" s="1" t="s">
        <v>90</v>
      </c>
    </row>
    <row r="101" spans="1:15" x14ac:dyDescent="0.3">
      <c r="A101" s="395" t="s">
        <v>190</v>
      </c>
      <c r="B101" s="395"/>
      <c r="C101" s="395"/>
      <c r="D101" s="395"/>
      <c r="K101" s="1" t="s">
        <v>92</v>
      </c>
    </row>
  </sheetData>
  <mergeCells count="17">
    <mergeCell ref="A101:D101"/>
    <mergeCell ref="A94:D94"/>
    <mergeCell ref="A95:D95"/>
    <mergeCell ref="A96:D96"/>
    <mergeCell ref="A97:D97"/>
    <mergeCell ref="A100:D100"/>
    <mergeCell ref="O20:O23"/>
    <mergeCell ref="A1:P1"/>
    <mergeCell ref="A6:A7"/>
    <mergeCell ref="B6:C6"/>
    <mergeCell ref="D6:D7"/>
    <mergeCell ref="E6:E7"/>
    <mergeCell ref="F6:H6"/>
    <mergeCell ref="I6:M6"/>
    <mergeCell ref="N6:O7"/>
    <mergeCell ref="P6:P7"/>
    <mergeCell ref="B7:C7"/>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P101"/>
  <sheetViews>
    <sheetView workbookViewId="0">
      <selection activeCell="L18" sqref="L18"/>
    </sheetView>
  </sheetViews>
  <sheetFormatPr defaultColWidth="9.1796875" defaultRowHeight="14" x14ac:dyDescent="0.3"/>
  <cols>
    <col min="1" max="1" width="9" style="1" customWidth="1"/>
    <col min="2" max="2" width="2.1796875" style="1" customWidth="1"/>
    <col min="3" max="3" width="17.7265625" style="1" customWidth="1"/>
    <col min="4" max="4" width="11.54296875" style="1" customWidth="1"/>
    <col min="5" max="5" width="27" style="1" customWidth="1"/>
    <col min="6" max="6" width="9" style="1" bestFit="1" customWidth="1"/>
    <col min="7" max="7" width="8.81640625" style="1" customWidth="1"/>
    <col min="8" max="8" width="9" style="1" customWidth="1"/>
    <col min="9" max="9" width="6.453125" style="1" bestFit="1" customWidth="1"/>
    <col min="10" max="10" width="6.81640625" style="1" bestFit="1" customWidth="1"/>
    <col min="11" max="11" width="10" style="1" bestFit="1" customWidth="1"/>
    <col min="12" max="12" width="5.54296875" style="1" bestFit="1" customWidth="1"/>
    <col min="13" max="13" width="6.81640625" style="1" bestFit="1" customWidth="1"/>
    <col min="14" max="14" width="2.1796875" style="1" customWidth="1"/>
    <col min="15" max="15" width="29.7265625" style="1" customWidth="1"/>
    <col min="16" max="16" width="10.26953125" style="1" customWidth="1"/>
    <col min="17" max="16384" width="9.1796875" style="1"/>
  </cols>
  <sheetData>
    <row r="1" spans="1:16" x14ac:dyDescent="0.3">
      <c r="A1" s="385" t="s">
        <v>177</v>
      </c>
      <c r="B1" s="385"/>
      <c r="C1" s="385"/>
      <c r="D1" s="385"/>
      <c r="E1" s="385"/>
      <c r="F1" s="385"/>
      <c r="G1" s="385"/>
      <c r="H1" s="385"/>
      <c r="I1" s="385"/>
      <c r="J1" s="385"/>
      <c r="K1" s="385"/>
      <c r="L1" s="385"/>
      <c r="M1" s="385"/>
      <c r="N1" s="385"/>
      <c r="O1" s="385"/>
      <c r="P1" s="385"/>
    </row>
    <row r="2" spans="1:16" ht="14.25" customHeight="1" x14ac:dyDescent="0.3"/>
    <row r="3" spans="1:16" ht="14.25" customHeight="1" x14ac:dyDescent="0.3">
      <c r="A3" s="1" t="s">
        <v>1</v>
      </c>
      <c r="B3" s="1" t="s">
        <v>78</v>
      </c>
      <c r="C3" s="1" t="s">
        <v>77</v>
      </c>
    </row>
    <row r="4" spans="1:16" ht="14.25" customHeight="1" x14ac:dyDescent="0.3">
      <c r="A4" s="1" t="s">
        <v>2</v>
      </c>
      <c r="B4" s="1" t="s">
        <v>78</v>
      </c>
      <c r="C4" s="4" t="s">
        <v>206</v>
      </c>
    </row>
    <row r="6" spans="1:16" x14ac:dyDescent="0.3">
      <c r="A6" s="386" t="s">
        <v>3</v>
      </c>
      <c r="B6" s="388" t="s">
        <v>4</v>
      </c>
      <c r="C6" s="388"/>
      <c r="D6" s="389" t="s">
        <v>6</v>
      </c>
      <c r="E6" s="391" t="s">
        <v>7</v>
      </c>
      <c r="F6" s="393" t="s">
        <v>170</v>
      </c>
      <c r="G6" s="393"/>
      <c r="H6" s="393"/>
      <c r="I6" s="393" t="s">
        <v>12</v>
      </c>
      <c r="J6" s="393"/>
      <c r="K6" s="393"/>
      <c r="L6" s="393"/>
      <c r="M6" s="393"/>
      <c r="N6" s="391" t="s">
        <v>17</v>
      </c>
      <c r="O6" s="391"/>
      <c r="P6" s="386" t="s">
        <v>192</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ht="14.25" customHeight="1" x14ac:dyDescent="0.3">
      <c r="A9" s="13">
        <v>1</v>
      </c>
      <c r="B9" s="14" t="s">
        <v>20</v>
      </c>
      <c r="C9" s="15"/>
      <c r="D9" s="16"/>
      <c r="E9" s="47"/>
      <c r="F9" s="16"/>
      <c r="G9" s="16"/>
      <c r="H9" s="16"/>
      <c r="I9" s="16"/>
      <c r="J9" s="16"/>
      <c r="K9" s="16"/>
      <c r="L9" s="16"/>
      <c r="M9" s="16"/>
      <c r="N9" s="35"/>
      <c r="O9" s="36"/>
      <c r="P9" s="16"/>
    </row>
    <row r="10" spans="1:16" ht="14.25" customHeight="1" x14ac:dyDescent="0.3">
      <c r="A10" s="13"/>
      <c r="B10" s="17" t="s">
        <v>57</v>
      </c>
      <c r="C10" s="15" t="s">
        <v>21</v>
      </c>
      <c r="D10" s="18">
        <v>403.56</v>
      </c>
      <c r="E10" s="47" t="s">
        <v>36</v>
      </c>
      <c r="F10" s="26">
        <f>4%*D10</f>
        <v>16.142400000000002</v>
      </c>
      <c r="G10" s="26">
        <f>4%*D10</f>
        <v>16.142400000000002</v>
      </c>
      <c r="H10" s="26">
        <f>SUM(F10:G10)</f>
        <v>32.284800000000004</v>
      </c>
      <c r="I10" s="19">
        <v>0</v>
      </c>
      <c r="J10" s="19"/>
      <c r="K10" s="19">
        <v>4</v>
      </c>
      <c r="L10" s="19"/>
      <c r="M10" s="20">
        <f>SUM(I10:L10)</f>
        <v>4</v>
      </c>
      <c r="N10" s="37"/>
      <c r="O10" s="36"/>
      <c r="P10" s="16"/>
    </row>
    <row r="11" spans="1:16" ht="14.25" customHeight="1" x14ac:dyDescent="0.3">
      <c r="A11" s="13"/>
      <c r="B11" s="14"/>
      <c r="C11" s="15"/>
      <c r="D11" s="18"/>
      <c r="E11" s="47" t="s">
        <v>37</v>
      </c>
      <c r="F11" s="26">
        <v>4</v>
      </c>
      <c r="G11" s="26">
        <f>5%*D11</f>
        <v>0</v>
      </c>
      <c r="H11" s="26">
        <f>SUM(F11:G11)</f>
        <v>4</v>
      </c>
      <c r="I11" s="19">
        <v>0</v>
      </c>
      <c r="J11" s="19">
        <v>0</v>
      </c>
      <c r="K11" s="19">
        <v>3</v>
      </c>
      <c r="L11" s="19">
        <v>0</v>
      </c>
      <c r="M11" s="20">
        <f t="shared" ref="M11:M17" si="0">SUM(I11:L11)</f>
        <v>3</v>
      </c>
      <c r="N11" s="37" t="s">
        <v>51</v>
      </c>
      <c r="O11" s="38" t="s">
        <v>50</v>
      </c>
      <c r="P11" s="16"/>
    </row>
    <row r="12" spans="1:16" ht="14.25" customHeight="1" x14ac:dyDescent="0.3">
      <c r="A12" s="13"/>
      <c r="B12" s="14"/>
      <c r="C12" s="15"/>
      <c r="D12" s="18"/>
      <c r="E12" s="47" t="s">
        <v>38</v>
      </c>
      <c r="F12" s="26">
        <v>5</v>
      </c>
      <c r="G12" s="26">
        <f>5%*D12</f>
        <v>0</v>
      </c>
      <c r="H12" s="26">
        <f>SUM(F12:G12)</f>
        <v>5</v>
      </c>
      <c r="I12" s="19">
        <v>0</v>
      </c>
      <c r="J12" s="19"/>
      <c r="K12" s="19">
        <v>3</v>
      </c>
      <c r="L12" s="19">
        <v>0</v>
      </c>
      <c r="M12" s="20">
        <f t="shared" si="0"/>
        <v>3</v>
      </c>
      <c r="N12" s="37" t="s">
        <v>51</v>
      </c>
      <c r="O12" s="36" t="s">
        <v>49</v>
      </c>
      <c r="P12" s="16"/>
    </row>
    <row r="13" spans="1:16" ht="14.25" customHeight="1" x14ac:dyDescent="0.3">
      <c r="A13" s="13"/>
      <c r="B13" s="14"/>
      <c r="C13" s="15"/>
      <c r="D13" s="18"/>
      <c r="E13" s="48" t="s">
        <v>39</v>
      </c>
      <c r="F13" s="26">
        <v>15</v>
      </c>
      <c r="G13" s="26">
        <f>5%*D13</f>
        <v>0</v>
      </c>
      <c r="H13" s="26">
        <f>SUM(F13:G13)</f>
        <v>15</v>
      </c>
      <c r="I13" s="22">
        <v>0</v>
      </c>
      <c r="J13" s="22">
        <v>0</v>
      </c>
      <c r="K13" s="22">
        <v>0</v>
      </c>
      <c r="L13" s="22">
        <v>0</v>
      </c>
      <c r="M13" s="23">
        <f t="shared" si="0"/>
        <v>0</v>
      </c>
      <c r="N13" s="39" t="s">
        <v>51</v>
      </c>
      <c r="O13" s="40" t="s">
        <v>48</v>
      </c>
      <c r="P13" s="16"/>
    </row>
    <row r="14" spans="1:16" ht="14.25" customHeight="1" x14ac:dyDescent="0.3">
      <c r="A14" s="13"/>
      <c r="B14" s="17" t="s">
        <v>58</v>
      </c>
      <c r="C14" s="15" t="s">
        <v>22</v>
      </c>
      <c r="D14" s="18">
        <v>728.56</v>
      </c>
      <c r="E14" s="47" t="s">
        <v>36</v>
      </c>
      <c r="F14" s="26">
        <f>9%*D14</f>
        <v>65.570399999999992</v>
      </c>
      <c r="G14" s="26">
        <f>5%*D14</f>
        <v>36.427999999999997</v>
      </c>
      <c r="H14" s="26">
        <f>SUM(F14:G14)</f>
        <v>101.99839999999999</v>
      </c>
      <c r="I14" s="19">
        <v>0</v>
      </c>
      <c r="J14" s="19">
        <v>8</v>
      </c>
      <c r="K14" s="19">
        <v>3</v>
      </c>
      <c r="L14" s="19">
        <v>0</v>
      </c>
      <c r="M14" s="20">
        <f t="shared" si="0"/>
        <v>11</v>
      </c>
      <c r="N14" s="35"/>
      <c r="O14" s="41"/>
      <c r="P14" s="16"/>
    </row>
    <row r="15" spans="1:16" ht="14.25" customHeight="1" x14ac:dyDescent="0.3">
      <c r="A15" s="13"/>
      <c r="B15" s="14"/>
      <c r="C15" s="15"/>
      <c r="D15" s="26"/>
      <c r="E15" s="47" t="s">
        <v>37</v>
      </c>
      <c r="F15" s="26">
        <v>8</v>
      </c>
      <c r="G15" s="26">
        <v>300</v>
      </c>
      <c r="H15" s="26">
        <f t="shared" ref="H15:H17" si="1">SUM(F15:G15)</f>
        <v>308</v>
      </c>
      <c r="I15" s="19">
        <v>0</v>
      </c>
      <c r="J15" s="19">
        <v>0</v>
      </c>
      <c r="K15" s="19">
        <v>5</v>
      </c>
      <c r="L15" s="19">
        <v>0</v>
      </c>
      <c r="M15" s="20">
        <f t="shared" si="0"/>
        <v>5</v>
      </c>
      <c r="N15" s="35"/>
      <c r="O15" s="36"/>
      <c r="P15" s="16"/>
    </row>
    <row r="16" spans="1:16" ht="14.25" customHeight="1" x14ac:dyDescent="0.3">
      <c r="A16" s="13"/>
      <c r="B16" s="14"/>
      <c r="C16" s="15"/>
      <c r="D16" s="26"/>
      <c r="E16" s="47" t="s">
        <v>38</v>
      </c>
      <c r="F16" s="26">
        <v>100</v>
      </c>
      <c r="G16" s="26">
        <v>375</v>
      </c>
      <c r="H16" s="26">
        <f t="shared" si="1"/>
        <v>475</v>
      </c>
      <c r="I16" s="19">
        <v>0</v>
      </c>
      <c r="J16" s="19">
        <v>0</v>
      </c>
      <c r="K16" s="19">
        <v>0</v>
      </c>
      <c r="L16" s="19">
        <v>0</v>
      </c>
      <c r="M16" s="20">
        <f t="shared" si="0"/>
        <v>0</v>
      </c>
      <c r="N16" s="35"/>
      <c r="O16" s="36"/>
      <c r="P16" s="16"/>
    </row>
    <row r="17" spans="1:16" ht="14.25" customHeight="1" x14ac:dyDescent="0.3">
      <c r="A17" s="54"/>
      <c r="B17" s="55"/>
      <c r="C17" s="56"/>
      <c r="D17" s="57"/>
      <c r="E17" s="58" t="s">
        <v>39</v>
      </c>
      <c r="F17" s="119">
        <v>45</v>
      </c>
      <c r="G17" s="119">
        <v>0</v>
      </c>
      <c r="H17" s="119">
        <f t="shared" si="1"/>
        <v>45</v>
      </c>
      <c r="I17" s="59">
        <v>0</v>
      </c>
      <c r="J17" s="59">
        <v>0</v>
      </c>
      <c r="K17" s="59">
        <v>0</v>
      </c>
      <c r="L17" s="59">
        <v>0</v>
      </c>
      <c r="M17" s="60">
        <f t="shared" si="0"/>
        <v>0</v>
      </c>
      <c r="N17" s="61"/>
      <c r="O17" s="62"/>
      <c r="P17" s="88"/>
    </row>
    <row r="18" spans="1:16" ht="14.25" customHeight="1" x14ac:dyDescent="0.3">
      <c r="A18" s="89"/>
      <c r="B18" s="71"/>
      <c r="C18" s="72"/>
      <c r="D18" s="73">
        <f>SUM(D9:D17)</f>
        <v>1132.1199999999999</v>
      </c>
      <c r="E18" s="74"/>
      <c r="F18" s="118">
        <f>SUM(F9:F17)</f>
        <v>258.71280000000002</v>
      </c>
      <c r="G18" s="118">
        <f>SUM(G9:G17)</f>
        <v>727.57040000000006</v>
      </c>
      <c r="H18" s="118">
        <f>SUM(H9:H17)</f>
        <v>986.28319999999997</v>
      </c>
      <c r="I18" s="75">
        <f>SUM(I9:I17)</f>
        <v>0</v>
      </c>
      <c r="J18" s="75">
        <f>SUM(J9:J17)</f>
        <v>8</v>
      </c>
      <c r="K18" s="75">
        <f>SUM(K8:K17)</f>
        <v>18</v>
      </c>
      <c r="L18" s="75"/>
      <c r="M18" s="75">
        <f>SUM(M9:M17)</f>
        <v>26</v>
      </c>
      <c r="N18" s="76"/>
      <c r="O18" s="77"/>
      <c r="P18" s="75"/>
    </row>
    <row r="19" spans="1:16" ht="14.25" customHeight="1" x14ac:dyDescent="0.3">
      <c r="A19" s="63">
        <v>2</v>
      </c>
      <c r="B19" s="64" t="s">
        <v>23</v>
      </c>
      <c r="C19" s="65"/>
      <c r="D19" s="66"/>
      <c r="E19" s="67"/>
      <c r="F19" s="68"/>
      <c r="G19" s="68"/>
      <c r="H19" s="68"/>
      <c r="I19" s="68"/>
      <c r="J19" s="68"/>
      <c r="K19" s="68"/>
      <c r="L19" s="68"/>
      <c r="M19" s="68"/>
      <c r="N19" s="69"/>
      <c r="O19" s="70"/>
      <c r="P19" s="68"/>
    </row>
    <row r="20" spans="1:16" ht="14.25" customHeight="1" x14ac:dyDescent="0.3">
      <c r="A20" s="13"/>
      <c r="B20" s="14" t="s">
        <v>57</v>
      </c>
      <c r="C20" s="15" t="s">
        <v>22</v>
      </c>
      <c r="D20" s="26">
        <v>198</v>
      </c>
      <c r="E20" s="47" t="s">
        <v>40</v>
      </c>
      <c r="F20" s="19">
        <v>0</v>
      </c>
      <c r="G20" s="19">
        <f>15%*D20</f>
        <v>29.7</v>
      </c>
      <c r="H20" s="19">
        <f t="shared" ref="H20" si="2">SUM(F20:G20)</f>
        <v>29.7</v>
      </c>
      <c r="I20" s="19">
        <v>0</v>
      </c>
      <c r="J20" s="19">
        <v>15</v>
      </c>
      <c r="K20" s="19">
        <v>4</v>
      </c>
      <c r="L20" s="19">
        <v>0</v>
      </c>
      <c r="M20" s="20">
        <f t="shared" ref="M20" si="3">SUM(I20:L20)</f>
        <v>19</v>
      </c>
      <c r="N20" s="37" t="s">
        <v>51</v>
      </c>
      <c r="O20" s="399" t="s">
        <v>54</v>
      </c>
      <c r="P20" s="16"/>
    </row>
    <row r="21" spans="1:16" ht="14.25" customHeight="1" x14ac:dyDescent="0.3">
      <c r="A21" s="54"/>
      <c r="B21" s="55"/>
      <c r="C21" s="56"/>
      <c r="D21" s="57"/>
      <c r="E21" s="85"/>
      <c r="F21" s="79"/>
      <c r="G21" s="79"/>
      <c r="H21" s="79"/>
      <c r="I21" s="79"/>
      <c r="J21" s="79"/>
      <c r="K21" s="79"/>
      <c r="L21" s="79"/>
      <c r="M21" s="86"/>
      <c r="N21" s="95"/>
      <c r="O21" s="401"/>
      <c r="P21" s="87"/>
    </row>
    <row r="22" spans="1:16" ht="14.25" customHeight="1" x14ac:dyDescent="0.3">
      <c r="A22" s="54"/>
      <c r="B22" s="55" t="s">
        <v>58</v>
      </c>
      <c r="C22" s="56" t="s">
        <v>42</v>
      </c>
      <c r="D22" s="57">
        <v>55</v>
      </c>
      <c r="E22" s="47" t="s">
        <v>40</v>
      </c>
      <c r="F22" s="19">
        <v>0</v>
      </c>
      <c r="G22" s="19">
        <v>5</v>
      </c>
      <c r="H22" s="19">
        <f t="shared" ref="H22" si="4">SUM(F22:G22)</f>
        <v>5</v>
      </c>
      <c r="I22" s="19">
        <v>0</v>
      </c>
      <c r="J22" s="19">
        <v>1</v>
      </c>
      <c r="K22" s="19">
        <v>4</v>
      </c>
      <c r="L22" s="19">
        <v>0</v>
      </c>
      <c r="M22" s="20">
        <f t="shared" ref="M22" si="5">SUM(I22:L22)</f>
        <v>5</v>
      </c>
      <c r="N22" s="95"/>
      <c r="O22" s="401"/>
      <c r="P22" s="87"/>
    </row>
    <row r="23" spans="1:16" ht="14.25" customHeight="1" x14ac:dyDescent="0.3">
      <c r="A23" s="54"/>
      <c r="B23" s="55"/>
      <c r="C23" s="56"/>
      <c r="D23" s="57"/>
      <c r="E23" s="85"/>
      <c r="F23" s="79"/>
      <c r="G23" s="79"/>
      <c r="H23" s="79"/>
      <c r="I23" s="79"/>
      <c r="J23" s="79"/>
      <c r="K23" s="79"/>
      <c r="L23" s="79"/>
      <c r="M23" s="86"/>
      <c r="N23" s="95"/>
      <c r="O23" s="401"/>
      <c r="P23" s="87"/>
    </row>
    <row r="24" spans="1:16" ht="14.25" customHeight="1" x14ac:dyDescent="0.3">
      <c r="A24" s="89"/>
      <c r="B24" s="71"/>
      <c r="C24" s="72"/>
      <c r="D24" s="73">
        <f>SUM(D19:D23)</f>
        <v>253</v>
      </c>
      <c r="E24" s="74"/>
      <c r="F24" s="83">
        <f t="shared" ref="F24:K24" si="6">SUM(F19:F23)</f>
        <v>0</v>
      </c>
      <c r="G24" s="83">
        <f t="shared" si="6"/>
        <v>34.700000000000003</v>
      </c>
      <c r="H24" s="83">
        <f t="shared" si="6"/>
        <v>34.700000000000003</v>
      </c>
      <c r="I24" s="83">
        <f t="shared" si="6"/>
        <v>0</v>
      </c>
      <c r="J24" s="83">
        <f t="shared" si="6"/>
        <v>16</v>
      </c>
      <c r="K24" s="83">
        <f t="shared" si="6"/>
        <v>8</v>
      </c>
      <c r="L24" s="83"/>
      <c r="M24" s="83">
        <f>SUM(M19:M23)</f>
        <v>24</v>
      </c>
      <c r="N24" s="76"/>
      <c r="O24" s="77"/>
      <c r="P24" s="75"/>
    </row>
    <row r="25" spans="1:16" ht="14.25" customHeight="1" x14ac:dyDescent="0.3">
      <c r="A25" s="63">
        <v>3</v>
      </c>
      <c r="B25" s="64" t="s">
        <v>19</v>
      </c>
      <c r="C25" s="65"/>
      <c r="D25" s="66"/>
      <c r="E25" s="67"/>
      <c r="F25" s="82"/>
      <c r="G25" s="82"/>
      <c r="H25" s="82"/>
      <c r="I25" s="82"/>
      <c r="J25" s="82"/>
      <c r="K25" s="82"/>
      <c r="L25" s="82"/>
      <c r="M25" s="82"/>
      <c r="N25" s="69"/>
      <c r="O25" s="70"/>
      <c r="P25" s="68"/>
    </row>
    <row r="26" spans="1:16" ht="14.25" customHeight="1" x14ac:dyDescent="0.3">
      <c r="A26" s="13"/>
      <c r="B26" s="14" t="s">
        <v>57</v>
      </c>
      <c r="C26" s="15" t="s">
        <v>24</v>
      </c>
      <c r="D26" s="26">
        <f>1372.4+494</f>
        <v>1866.4</v>
      </c>
      <c r="E26" s="50" t="s">
        <v>52</v>
      </c>
      <c r="F26" s="19">
        <v>0</v>
      </c>
      <c r="G26" s="26">
        <f t="shared" ref="G26:G33" si="7">50%*D26</f>
        <v>933.2</v>
      </c>
      <c r="H26" s="26">
        <f>SUM(F26:G26)</f>
        <v>933.2</v>
      </c>
      <c r="I26" s="19">
        <v>0</v>
      </c>
      <c r="J26" s="19">
        <v>3</v>
      </c>
      <c r="K26" s="19">
        <v>0</v>
      </c>
      <c r="L26" s="19">
        <v>0</v>
      </c>
      <c r="M26" s="19">
        <f>SUM(I26:L26)</f>
        <v>3</v>
      </c>
      <c r="N26" s="35"/>
      <c r="O26" s="43" t="s">
        <v>148</v>
      </c>
      <c r="P26" s="16"/>
    </row>
    <row r="27" spans="1:16" ht="14.25" customHeight="1" x14ac:dyDescent="0.3">
      <c r="A27" s="13"/>
      <c r="B27" s="14" t="s">
        <v>58</v>
      </c>
      <c r="C27" s="15" t="s">
        <v>25</v>
      </c>
      <c r="D27" s="26">
        <f>994.7+363.2</f>
        <v>1357.9</v>
      </c>
      <c r="E27" s="50" t="s">
        <v>52</v>
      </c>
      <c r="F27" s="19">
        <v>0</v>
      </c>
      <c r="G27" s="26">
        <f t="shared" si="7"/>
        <v>678.95</v>
      </c>
      <c r="H27" s="26">
        <f t="shared" ref="H27:H52" si="8">SUM(F27:G27)</f>
        <v>678.95</v>
      </c>
      <c r="I27" s="19">
        <v>0</v>
      </c>
      <c r="J27" s="19">
        <v>2</v>
      </c>
      <c r="K27" s="19">
        <v>2</v>
      </c>
      <c r="L27" s="19">
        <v>0</v>
      </c>
      <c r="M27" s="19">
        <f t="shared" ref="M27:M52" si="9">SUM(I27:L27)</f>
        <v>4</v>
      </c>
      <c r="N27" s="35"/>
      <c r="O27" s="43" t="s">
        <v>149</v>
      </c>
      <c r="P27" s="16"/>
    </row>
    <row r="28" spans="1:16" ht="14.25" customHeight="1" x14ac:dyDescent="0.3">
      <c r="A28" s="13"/>
      <c r="B28" s="14" t="s">
        <v>59</v>
      </c>
      <c r="C28" s="15" t="s">
        <v>26</v>
      </c>
      <c r="D28" s="26">
        <f>976.5+338</f>
        <v>1314.5</v>
      </c>
      <c r="E28" s="50" t="s">
        <v>52</v>
      </c>
      <c r="F28" s="19">
        <v>0</v>
      </c>
      <c r="G28" s="26">
        <f t="shared" si="7"/>
        <v>657.25</v>
      </c>
      <c r="H28" s="26">
        <f t="shared" si="8"/>
        <v>657.25</v>
      </c>
      <c r="I28" s="19">
        <v>0</v>
      </c>
      <c r="J28" s="19">
        <v>3</v>
      </c>
      <c r="K28" s="19">
        <v>0</v>
      </c>
      <c r="L28" s="19">
        <v>0</v>
      </c>
      <c r="M28" s="19">
        <f t="shared" si="9"/>
        <v>3</v>
      </c>
      <c r="N28" s="35"/>
      <c r="O28" s="43" t="s">
        <v>150</v>
      </c>
      <c r="P28" s="16"/>
    </row>
    <row r="29" spans="1:16" ht="14.25" customHeight="1" x14ac:dyDescent="0.3">
      <c r="A29" s="13"/>
      <c r="B29" s="14" t="s">
        <v>60</v>
      </c>
      <c r="C29" s="15" t="s">
        <v>55</v>
      </c>
      <c r="D29" s="26">
        <f>291.6+46.93</f>
        <v>338.53000000000003</v>
      </c>
      <c r="E29" s="50" t="s">
        <v>52</v>
      </c>
      <c r="F29" s="19">
        <v>0</v>
      </c>
      <c r="G29" s="26">
        <f t="shared" si="7"/>
        <v>169.26500000000001</v>
      </c>
      <c r="H29" s="26">
        <f t="shared" si="8"/>
        <v>169.26500000000001</v>
      </c>
      <c r="I29" s="19">
        <v>0</v>
      </c>
      <c r="J29" s="19">
        <v>0</v>
      </c>
      <c r="K29" s="19">
        <v>0</v>
      </c>
      <c r="L29" s="19">
        <v>0</v>
      </c>
      <c r="M29" s="19">
        <f t="shared" si="9"/>
        <v>0</v>
      </c>
      <c r="N29" s="35"/>
      <c r="O29" s="43" t="s">
        <v>151</v>
      </c>
      <c r="P29" s="16"/>
    </row>
    <row r="30" spans="1:16" ht="14.25" customHeight="1" x14ac:dyDescent="0.3">
      <c r="A30" s="13"/>
      <c r="B30" s="14" t="s">
        <v>61</v>
      </c>
      <c r="C30" s="15" t="s">
        <v>27</v>
      </c>
      <c r="D30" s="26">
        <f>831.5+161.25</f>
        <v>992.75</v>
      </c>
      <c r="E30" s="50" t="s">
        <v>52</v>
      </c>
      <c r="F30" s="19">
        <v>0</v>
      </c>
      <c r="G30" s="26">
        <f t="shared" si="7"/>
        <v>496.375</v>
      </c>
      <c r="H30" s="26">
        <f t="shared" si="8"/>
        <v>496.375</v>
      </c>
      <c r="I30" s="19">
        <v>0</v>
      </c>
      <c r="J30" s="19">
        <v>0</v>
      </c>
      <c r="K30" s="19">
        <v>0</v>
      </c>
      <c r="L30" s="19">
        <v>0</v>
      </c>
      <c r="M30" s="19">
        <f t="shared" si="9"/>
        <v>0</v>
      </c>
      <c r="N30" s="35"/>
      <c r="O30" s="44" t="s">
        <v>162</v>
      </c>
      <c r="P30" s="16"/>
    </row>
    <row r="31" spans="1:16" ht="14.25" customHeight="1" x14ac:dyDescent="0.3">
      <c r="A31" s="13"/>
      <c r="B31" s="14" t="s">
        <v>62</v>
      </c>
      <c r="C31" s="15" t="s">
        <v>28</v>
      </c>
      <c r="D31" s="26">
        <f>868+618.6</f>
        <v>1486.6</v>
      </c>
      <c r="E31" s="50" t="s">
        <v>52</v>
      </c>
      <c r="F31" s="19">
        <v>0</v>
      </c>
      <c r="G31" s="26">
        <f t="shared" si="7"/>
        <v>743.3</v>
      </c>
      <c r="H31" s="26">
        <f t="shared" si="8"/>
        <v>743.3</v>
      </c>
      <c r="I31" s="19">
        <v>0</v>
      </c>
      <c r="J31" s="19">
        <v>0</v>
      </c>
      <c r="K31" s="19">
        <v>0</v>
      </c>
      <c r="L31" s="19">
        <v>0</v>
      </c>
      <c r="M31" s="19">
        <f t="shared" si="9"/>
        <v>0</v>
      </c>
      <c r="N31" s="35"/>
      <c r="O31" s="43" t="s">
        <v>152</v>
      </c>
      <c r="P31" s="16"/>
    </row>
    <row r="32" spans="1:16" ht="14.25" customHeight="1" x14ac:dyDescent="0.3">
      <c r="A32" s="13"/>
      <c r="B32" s="14" t="s">
        <v>63</v>
      </c>
      <c r="C32" s="15" t="s">
        <v>29</v>
      </c>
      <c r="D32" s="26">
        <f>1546+278.5</f>
        <v>1824.5</v>
      </c>
      <c r="E32" s="50" t="s">
        <v>52</v>
      </c>
      <c r="F32" s="19">
        <v>0</v>
      </c>
      <c r="G32" s="26">
        <f t="shared" si="7"/>
        <v>912.25</v>
      </c>
      <c r="H32" s="26">
        <f t="shared" si="8"/>
        <v>912.25</v>
      </c>
      <c r="I32" s="19">
        <v>0</v>
      </c>
      <c r="J32" s="19">
        <v>0</v>
      </c>
      <c r="K32" s="19">
        <v>0</v>
      </c>
      <c r="L32" s="19">
        <v>0</v>
      </c>
      <c r="M32" s="19">
        <f t="shared" si="9"/>
        <v>0</v>
      </c>
      <c r="N32" s="35"/>
      <c r="O32" s="43" t="s">
        <v>153</v>
      </c>
      <c r="P32" s="16"/>
    </row>
    <row r="33" spans="1:16" ht="14.25" customHeight="1" x14ac:dyDescent="0.3">
      <c r="A33" s="13"/>
      <c r="B33" s="14" t="s">
        <v>64</v>
      </c>
      <c r="C33" s="15" t="s">
        <v>56</v>
      </c>
      <c r="D33" s="26">
        <f>156.4+34.9</f>
        <v>191.3</v>
      </c>
      <c r="E33" s="50" t="s">
        <v>52</v>
      </c>
      <c r="F33" s="19">
        <v>0</v>
      </c>
      <c r="G33" s="26">
        <f t="shared" si="7"/>
        <v>95.65</v>
      </c>
      <c r="H33" s="26">
        <f t="shared" si="8"/>
        <v>95.65</v>
      </c>
      <c r="I33" s="19">
        <v>0</v>
      </c>
      <c r="J33" s="19">
        <v>6</v>
      </c>
      <c r="K33" s="19">
        <v>0</v>
      </c>
      <c r="L33" s="19">
        <v>0</v>
      </c>
      <c r="M33" s="19">
        <f t="shared" si="9"/>
        <v>6</v>
      </c>
      <c r="N33" s="35"/>
      <c r="O33" s="43" t="s">
        <v>154</v>
      </c>
      <c r="P33" s="16"/>
    </row>
    <row r="34" spans="1:16" ht="14.25" customHeight="1" x14ac:dyDescent="0.3">
      <c r="A34" s="13"/>
      <c r="B34" s="14" t="s">
        <v>65</v>
      </c>
      <c r="C34" s="15" t="s">
        <v>30</v>
      </c>
      <c r="D34" s="26">
        <f>1499.7+565.1</f>
        <v>2064.8000000000002</v>
      </c>
      <c r="E34" s="50" t="s">
        <v>52</v>
      </c>
      <c r="F34" s="19">
        <v>0</v>
      </c>
      <c r="G34" s="26">
        <f>30%*D34</f>
        <v>619.44000000000005</v>
      </c>
      <c r="H34" s="26">
        <f t="shared" si="8"/>
        <v>619.44000000000005</v>
      </c>
      <c r="I34" s="19">
        <v>0</v>
      </c>
      <c r="J34" s="19">
        <v>0</v>
      </c>
      <c r="K34" s="19">
        <v>0</v>
      </c>
      <c r="L34" s="19">
        <v>0</v>
      </c>
      <c r="M34" s="19">
        <f t="shared" si="9"/>
        <v>0</v>
      </c>
      <c r="N34" s="35"/>
      <c r="O34" s="43" t="s">
        <v>155</v>
      </c>
      <c r="P34" s="16"/>
    </row>
    <row r="35" spans="1:16" ht="14.25" customHeight="1" x14ac:dyDescent="0.3">
      <c r="A35" s="13"/>
      <c r="B35" s="14" t="s">
        <v>66</v>
      </c>
      <c r="C35" s="15" t="s">
        <v>31</v>
      </c>
      <c r="D35" s="26">
        <f>1207+389</f>
        <v>1596</v>
      </c>
      <c r="E35" s="50" t="s">
        <v>52</v>
      </c>
      <c r="F35" s="19">
        <v>0</v>
      </c>
      <c r="G35" s="26">
        <f>50%*D35</f>
        <v>798</v>
      </c>
      <c r="H35" s="26">
        <f t="shared" si="8"/>
        <v>798</v>
      </c>
      <c r="I35" s="19">
        <v>0</v>
      </c>
      <c r="J35" s="19">
        <v>0</v>
      </c>
      <c r="K35" s="19">
        <v>0</v>
      </c>
      <c r="L35" s="19">
        <v>0</v>
      </c>
      <c r="M35" s="19">
        <f t="shared" si="9"/>
        <v>0</v>
      </c>
      <c r="N35" s="35"/>
      <c r="O35" s="43" t="s">
        <v>156</v>
      </c>
      <c r="P35" s="16"/>
    </row>
    <row r="36" spans="1:16" ht="14.25" customHeight="1" x14ac:dyDescent="0.3">
      <c r="A36" s="13"/>
      <c r="B36" s="14" t="s">
        <v>67</v>
      </c>
      <c r="C36" s="15" t="s">
        <v>32</v>
      </c>
      <c r="D36" s="26">
        <f>998.9+79.5</f>
        <v>1078.4000000000001</v>
      </c>
      <c r="E36" s="50" t="s">
        <v>52</v>
      </c>
      <c r="F36" s="19">
        <v>0</v>
      </c>
      <c r="G36" s="26">
        <f t="shared" ref="G36:G52" si="10">30%*D36</f>
        <v>323.52000000000004</v>
      </c>
      <c r="H36" s="26">
        <f t="shared" si="8"/>
        <v>323.52000000000004</v>
      </c>
      <c r="I36" s="19">
        <v>0</v>
      </c>
      <c r="J36" s="19">
        <v>0</v>
      </c>
      <c r="K36" s="19">
        <v>0</v>
      </c>
      <c r="L36" s="19">
        <v>0</v>
      </c>
      <c r="M36" s="19">
        <f t="shared" si="9"/>
        <v>0</v>
      </c>
      <c r="N36" s="35"/>
      <c r="O36" s="43" t="s">
        <v>157</v>
      </c>
      <c r="P36" s="16"/>
    </row>
    <row r="37" spans="1:16" ht="14.25" customHeight="1" x14ac:dyDescent="0.3">
      <c r="A37" s="13"/>
      <c r="B37" s="14" t="s">
        <v>68</v>
      </c>
      <c r="C37" s="15" t="s">
        <v>33</v>
      </c>
      <c r="D37" s="26">
        <f>1304+57.5</f>
        <v>1361.5</v>
      </c>
      <c r="E37" s="50" t="s">
        <v>52</v>
      </c>
      <c r="F37" s="19">
        <v>0</v>
      </c>
      <c r="G37" s="26">
        <f t="shared" si="10"/>
        <v>408.45</v>
      </c>
      <c r="H37" s="26">
        <f t="shared" si="8"/>
        <v>408.45</v>
      </c>
      <c r="I37" s="19">
        <v>0</v>
      </c>
      <c r="J37" s="19">
        <v>0</v>
      </c>
      <c r="K37" s="19">
        <v>0</v>
      </c>
      <c r="L37" s="19">
        <v>0</v>
      </c>
      <c r="M37" s="19">
        <f t="shared" si="9"/>
        <v>0</v>
      </c>
      <c r="N37" s="35"/>
      <c r="O37" s="43" t="s">
        <v>158</v>
      </c>
      <c r="P37" s="16"/>
    </row>
    <row r="38" spans="1:16" ht="14.25" customHeight="1" x14ac:dyDescent="0.3">
      <c r="A38" s="13"/>
      <c r="B38" s="14" t="s">
        <v>69</v>
      </c>
      <c r="C38" s="15" t="s">
        <v>34</v>
      </c>
      <c r="D38" s="26">
        <f>1784.1+362</f>
        <v>2146.1</v>
      </c>
      <c r="E38" s="50" t="s">
        <v>52</v>
      </c>
      <c r="F38" s="19">
        <v>0</v>
      </c>
      <c r="G38" s="26">
        <f t="shared" si="10"/>
        <v>643.82999999999993</v>
      </c>
      <c r="H38" s="26">
        <f t="shared" si="8"/>
        <v>643.82999999999993</v>
      </c>
      <c r="I38" s="19">
        <v>0</v>
      </c>
      <c r="J38" s="19">
        <v>4</v>
      </c>
      <c r="K38" s="19">
        <v>11</v>
      </c>
      <c r="L38" s="19">
        <v>0</v>
      </c>
      <c r="M38" s="19">
        <f t="shared" si="9"/>
        <v>15</v>
      </c>
      <c r="N38" s="35"/>
      <c r="O38" s="43" t="s">
        <v>159</v>
      </c>
      <c r="P38" s="16"/>
    </row>
    <row r="39" spans="1:16" ht="14.25" customHeight="1" x14ac:dyDescent="0.3">
      <c r="A39" s="13"/>
      <c r="B39" s="14" t="s">
        <v>70</v>
      </c>
      <c r="C39" s="15" t="s">
        <v>35</v>
      </c>
      <c r="D39" s="26">
        <f>1557+181.5</f>
        <v>1738.5</v>
      </c>
      <c r="E39" s="50" t="s">
        <v>52</v>
      </c>
      <c r="F39" s="19">
        <v>0</v>
      </c>
      <c r="G39" s="26">
        <f t="shared" si="10"/>
        <v>521.54999999999995</v>
      </c>
      <c r="H39" s="26">
        <f t="shared" si="8"/>
        <v>521.54999999999995</v>
      </c>
      <c r="I39" s="19">
        <v>0</v>
      </c>
      <c r="J39" s="19">
        <v>0</v>
      </c>
      <c r="K39" s="19">
        <v>0</v>
      </c>
      <c r="L39" s="19">
        <v>0</v>
      </c>
      <c r="M39" s="19">
        <f t="shared" si="9"/>
        <v>0</v>
      </c>
      <c r="N39" s="35"/>
      <c r="O39" s="43" t="s">
        <v>160</v>
      </c>
      <c r="P39" s="16"/>
    </row>
    <row r="40" spans="1:16" ht="14.25" customHeight="1" x14ac:dyDescent="0.3">
      <c r="A40" s="13"/>
      <c r="B40" s="14" t="s">
        <v>71</v>
      </c>
      <c r="C40" s="15" t="s">
        <v>21</v>
      </c>
      <c r="D40" s="26">
        <f>1940+114</f>
        <v>2054</v>
      </c>
      <c r="E40" s="50" t="s">
        <v>52</v>
      </c>
      <c r="F40" s="19">
        <v>0</v>
      </c>
      <c r="G40" s="26">
        <f t="shared" si="10"/>
        <v>616.19999999999993</v>
      </c>
      <c r="H40" s="26">
        <f t="shared" si="8"/>
        <v>616.19999999999993</v>
      </c>
      <c r="I40" s="19">
        <v>0</v>
      </c>
      <c r="J40" s="19">
        <v>0</v>
      </c>
      <c r="K40" s="19">
        <v>0</v>
      </c>
      <c r="L40" s="19">
        <v>0</v>
      </c>
      <c r="M40" s="19">
        <f t="shared" si="9"/>
        <v>0</v>
      </c>
      <c r="N40" s="35"/>
      <c r="O40" s="43" t="s">
        <v>161</v>
      </c>
      <c r="P40" s="16"/>
    </row>
    <row r="41" spans="1:16" ht="14.25" customHeight="1" x14ac:dyDescent="0.3">
      <c r="A41" s="13"/>
      <c r="B41" s="14" t="s">
        <v>72</v>
      </c>
      <c r="C41" s="15" t="s">
        <v>42</v>
      </c>
      <c r="D41" s="26">
        <f>773.1+303.8</f>
        <v>1076.9000000000001</v>
      </c>
      <c r="E41" s="50" t="s">
        <v>52</v>
      </c>
      <c r="F41" s="19">
        <v>0</v>
      </c>
      <c r="G41" s="26">
        <f t="shared" si="10"/>
        <v>323.07</v>
      </c>
      <c r="H41" s="26">
        <f t="shared" si="8"/>
        <v>323.07</v>
      </c>
      <c r="I41" s="19">
        <v>0</v>
      </c>
      <c r="J41" s="19">
        <v>0</v>
      </c>
      <c r="K41" s="19">
        <v>0</v>
      </c>
      <c r="L41" s="19">
        <v>0</v>
      </c>
      <c r="M41" s="19">
        <f t="shared" si="9"/>
        <v>0</v>
      </c>
      <c r="N41" s="35"/>
      <c r="O41" s="36"/>
      <c r="P41" s="16"/>
    </row>
    <row r="42" spans="1:16" ht="14.25" customHeight="1" x14ac:dyDescent="0.3">
      <c r="A42" s="13"/>
      <c r="B42" s="14" t="s">
        <v>73</v>
      </c>
      <c r="C42" s="15" t="s">
        <v>105</v>
      </c>
      <c r="D42" s="26">
        <f>153.8+8.7</f>
        <v>162.5</v>
      </c>
      <c r="E42" s="50" t="s">
        <v>52</v>
      </c>
      <c r="F42" s="19">
        <v>0</v>
      </c>
      <c r="G42" s="26">
        <f t="shared" si="10"/>
        <v>48.75</v>
      </c>
      <c r="H42" s="26">
        <f t="shared" si="8"/>
        <v>48.75</v>
      </c>
      <c r="I42" s="19">
        <v>0</v>
      </c>
      <c r="J42" s="19">
        <v>0</v>
      </c>
      <c r="K42" s="19">
        <v>0</v>
      </c>
      <c r="L42" s="19">
        <v>0</v>
      </c>
      <c r="M42" s="19">
        <f t="shared" si="9"/>
        <v>0</v>
      </c>
      <c r="N42" s="35"/>
      <c r="O42" s="36"/>
      <c r="P42" s="16"/>
    </row>
    <row r="43" spans="1:16" ht="14.25" customHeight="1" x14ac:dyDescent="0.3">
      <c r="A43" s="13"/>
      <c r="B43" s="14" t="s">
        <v>74</v>
      </c>
      <c r="C43" s="15" t="s">
        <v>110</v>
      </c>
      <c r="D43" s="26">
        <f>695+48.2</f>
        <v>743.2</v>
      </c>
      <c r="E43" s="50" t="s">
        <v>52</v>
      </c>
      <c r="F43" s="19">
        <v>0</v>
      </c>
      <c r="G43" s="26">
        <f t="shared" si="10"/>
        <v>222.96</v>
      </c>
      <c r="H43" s="26">
        <f t="shared" si="8"/>
        <v>222.96</v>
      </c>
      <c r="I43" s="19">
        <v>0</v>
      </c>
      <c r="J43" s="19">
        <v>0</v>
      </c>
      <c r="K43" s="19">
        <v>0</v>
      </c>
      <c r="L43" s="19">
        <v>0</v>
      </c>
      <c r="M43" s="19">
        <f t="shared" si="9"/>
        <v>0</v>
      </c>
      <c r="N43" s="35"/>
      <c r="O43" s="36"/>
      <c r="P43" s="16"/>
    </row>
    <row r="44" spans="1:16" ht="14.25" customHeight="1" x14ac:dyDescent="0.3">
      <c r="A44" s="13"/>
      <c r="B44" s="14" t="s">
        <v>75</v>
      </c>
      <c r="C44" s="15" t="s">
        <v>112</v>
      </c>
      <c r="D44" s="26">
        <f>375+14</f>
        <v>389</v>
      </c>
      <c r="E44" s="50" t="s">
        <v>52</v>
      </c>
      <c r="F44" s="19">
        <v>0</v>
      </c>
      <c r="G44" s="26">
        <f t="shared" si="10"/>
        <v>116.69999999999999</v>
      </c>
      <c r="H44" s="26">
        <f t="shared" si="8"/>
        <v>116.69999999999999</v>
      </c>
      <c r="I44" s="19">
        <v>0</v>
      </c>
      <c r="J44" s="19">
        <v>0</v>
      </c>
      <c r="K44" s="19">
        <v>0</v>
      </c>
      <c r="L44" s="19">
        <v>0</v>
      </c>
      <c r="M44" s="19">
        <f t="shared" si="9"/>
        <v>0</v>
      </c>
      <c r="N44" s="35"/>
      <c r="O44" s="36"/>
      <c r="P44" s="16"/>
    </row>
    <row r="45" spans="1:16" ht="14.25" customHeight="1" x14ac:dyDescent="0.3">
      <c r="A45" s="13"/>
      <c r="B45" s="14" t="s">
        <v>104</v>
      </c>
      <c r="C45" s="15" t="s">
        <v>114</v>
      </c>
      <c r="D45" s="26">
        <f>73.5</f>
        <v>73.5</v>
      </c>
      <c r="E45" s="50" t="s">
        <v>52</v>
      </c>
      <c r="F45" s="19">
        <v>0</v>
      </c>
      <c r="G45" s="26">
        <f t="shared" si="10"/>
        <v>22.05</v>
      </c>
      <c r="H45" s="26">
        <f t="shared" si="8"/>
        <v>22.05</v>
      </c>
      <c r="I45" s="19">
        <v>0</v>
      </c>
      <c r="J45" s="19">
        <v>0</v>
      </c>
      <c r="K45" s="19">
        <v>0</v>
      </c>
      <c r="L45" s="19">
        <v>0</v>
      </c>
      <c r="M45" s="19">
        <f t="shared" si="9"/>
        <v>0</v>
      </c>
      <c r="N45" s="35"/>
      <c r="O45" s="36"/>
      <c r="P45" s="16"/>
    </row>
    <row r="46" spans="1:16" ht="14.25" customHeight="1" x14ac:dyDescent="0.3">
      <c r="A46" s="13"/>
      <c r="B46" s="14" t="s">
        <v>106</v>
      </c>
      <c r="C46" s="15" t="s">
        <v>22</v>
      </c>
      <c r="D46" s="26">
        <f>1130+101</f>
        <v>1231</v>
      </c>
      <c r="E46" s="50" t="s">
        <v>52</v>
      </c>
      <c r="F46" s="19">
        <v>0</v>
      </c>
      <c r="G46" s="26">
        <f t="shared" si="10"/>
        <v>369.3</v>
      </c>
      <c r="H46" s="26">
        <f t="shared" si="8"/>
        <v>369.3</v>
      </c>
      <c r="I46" s="19">
        <v>0</v>
      </c>
      <c r="J46" s="19">
        <v>0</v>
      </c>
      <c r="K46" s="19">
        <v>0</v>
      </c>
      <c r="L46" s="19">
        <v>0</v>
      </c>
      <c r="M46" s="19">
        <f t="shared" si="9"/>
        <v>0</v>
      </c>
      <c r="N46" s="35"/>
      <c r="O46" s="36"/>
      <c r="P46" s="16"/>
    </row>
    <row r="47" spans="1:16" ht="14.25" customHeight="1" x14ac:dyDescent="0.3">
      <c r="A47" s="13"/>
      <c r="B47" s="14" t="s">
        <v>108</v>
      </c>
      <c r="C47" s="15" t="s">
        <v>180</v>
      </c>
      <c r="D47" s="26">
        <f>134.8+5</f>
        <v>139.80000000000001</v>
      </c>
      <c r="E47" s="47" t="s">
        <v>45</v>
      </c>
      <c r="F47" s="19">
        <v>0</v>
      </c>
      <c r="G47" s="26">
        <f t="shared" si="10"/>
        <v>41.940000000000005</v>
      </c>
      <c r="H47" s="26">
        <f t="shared" si="8"/>
        <v>41.940000000000005</v>
      </c>
      <c r="I47" s="19">
        <v>0</v>
      </c>
      <c r="J47" s="19">
        <v>0</v>
      </c>
      <c r="K47" s="19">
        <v>0</v>
      </c>
      <c r="L47" s="19">
        <v>0</v>
      </c>
      <c r="M47" s="19">
        <f t="shared" si="9"/>
        <v>0</v>
      </c>
      <c r="N47" s="35"/>
      <c r="O47" s="36"/>
      <c r="P47" s="16"/>
    </row>
    <row r="48" spans="1:16" ht="14.25" customHeight="1" x14ac:dyDescent="0.3">
      <c r="A48" s="13"/>
      <c r="B48" s="14" t="s">
        <v>109</v>
      </c>
      <c r="C48" s="15" t="s">
        <v>43</v>
      </c>
      <c r="D48" s="26">
        <f>1189+216.6</f>
        <v>1405.6</v>
      </c>
      <c r="E48" s="50" t="s">
        <v>52</v>
      </c>
      <c r="F48" s="19">
        <v>0</v>
      </c>
      <c r="G48" s="26">
        <f t="shared" si="10"/>
        <v>421.67999999999995</v>
      </c>
      <c r="H48" s="26">
        <f t="shared" si="8"/>
        <v>421.67999999999995</v>
      </c>
      <c r="I48" s="19">
        <v>0</v>
      </c>
      <c r="J48" s="19">
        <v>0</v>
      </c>
      <c r="K48" s="19">
        <v>0</v>
      </c>
      <c r="L48" s="19">
        <v>0</v>
      </c>
      <c r="M48" s="19">
        <f t="shared" si="9"/>
        <v>0</v>
      </c>
      <c r="N48" s="35"/>
      <c r="O48" s="36"/>
      <c r="P48" s="16"/>
    </row>
    <row r="49" spans="1:16" ht="14.25" customHeight="1" x14ac:dyDescent="0.3">
      <c r="A49" s="13"/>
      <c r="B49" s="55" t="s">
        <v>111</v>
      </c>
      <c r="C49" s="56" t="s">
        <v>44</v>
      </c>
      <c r="D49" s="57">
        <f>1396.6+127</f>
        <v>1523.6</v>
      </c>
      <c r="E49" s="78" t="s">
        <v>52</v>
      </c>
      <c r="F49" s="19">
        <v>0</v>
      </c>
      <c r="G49" s="26">
        <f t="shared" si="10"/>
        <v>457.08</v>
      </c>
      <c r="H49" s="26">
        <f t="shared" si="8"/>
        <v>457.08</v>
      </c>
      <c r="I49" s="19">
        <v>0</v>
      </c>
      <c r="J49" s="19">
        <v>0</v>
      </c>
      <c r="K49" s="19">
        <v>0</v>
      </c>
      <c r="L49" s="19">
        <v>0</v>
      </c>
      <c r="M49" s="19">
        <f t="shared" si="9"/>
        <v>0</v>
      </c>
      <c r="N49" s="35"/>
      <c r="O49" s="36"/>
      <c r="P49" s="16"/>
    </row>
    <row r="50" spans="1:16" ht="14.25" customHeight="1" x14ac:dyDescent="0.3">
      <c r="A50" s="13"/>
      <c r="B50" s="14"/>
      <c r="C50" s="15"/>
      <c r="D50" s="26"/>
      <c r="E50" s="47" t="s">
        <v>45</v>
      </c>
      <c r="F50" s="19">
        <v>0</v>
      </c>
      <c r="G50" s="26">
        <f t="shared" si="10"/>
        <v>0</v>
      </c>
      <c r="H50" s="26">
        <f t="shared" si="8"/>
        <v>0</v>
      </c>
      <c r="I50" s="19">
        <v>0</v>
      </c>
      <c r="J50" s="19">
        <v>0</v>
      </c>
      <c r="K50" s="19">
        <v>0</v>
      </c>
      <c r="L50" s="19">
        <v>0</v>
      </c>
      <c r="M50" s="19">
        <f t="shared" si="9"/>
        <v>0</v>
      </c>
      <c r="N50" s="35"/>
      <c r="O50" s="36"/>
      <c r="P50" s="16"/>
    </row>
    <row r="51" spans="1:16" ht="14.25" customHeight="1" x14ac:dyDescent="0.3">
      <c r="A51" s="13"/>
      <c r="B51" s="14" t="s">
        <v>74</v>
      </c>
      <c r="C51" s="15" t="s">
        <v>43</v>
      </c>
      <c r="D51" s="26">
        <v>1189</v>
      </c>
      <c r="E51" s="50" t="s">
        <v>52</v>
      </c>
      <c r="F51" s="19">
        <v>0</v>
      </c>
      <c r="G51" s="26">
        <f t="shared" si="10"/>
        <v>356.7</v>
      </c>
      <c r="H51" s="26">
        <f t="shared" si="8"/>
        <v>356.7</v>
      </c>
      <c r="I51" s="19">
        <v>0</v>
      </c>
      <c r="J51" s="19">
        <v>0</v>
      </c>
      <c r="K51" s="19">
        <v>0</v>
      </c>
      <c r="L51" s="19">
        <v>0</v>
      </c>
      <c r="M51" s="19">
        <f t="shared" si="9"/>
        <v>0</v>
      </c>
      <c r="N51" s="35"/>
      <c r="O51" s="36"/>
      <c r="P51" s="16"/>
    </row>
    <row r="52" spans="1:16" ht="14.25" customHeight="1" x14ac:dyDescent="0.3">
      <c r="A52" s="54"/>
      <c r="B52" s="55" t="s">
        <v>75</v>
      </c>
      <c r="C52" s="56" t="s">
        <v>44</v>
      </c>
      <c r="D52" s="57">
        <v>1391</v>
      </c>
      <c r="E52" s="78" t="s">
        <v>52</v>
      </c>
      <c r="F52" s="19">
        <v>0</v>
      </c>
      <c r="G52" s="26">
        <f t="shared" si="10"/>
        <v>417.3</v>
      </c>
      <c r="H52" s="26">
        <f t="shared" si="8"/>
        <v>417.3</v>
      </c>
      <c r="I52" s="19">
        <v>0</v>
      </c>
      <c r="J52" s="19">
        <v>3</v>
      </c>
      <c r="K52" s="19">
        <v>1</v>
      </c>
      <c r="L52" s="19">
        <v>0</v>
      </c>
      <c r="M52" s="19">
        <f t="shared" si="9"/>
        <v>4</v>
      </c>
      <c r="N52" s="80"/>
      <c r="O52" s="81"/>
      <c r="P52" s="87"/>
    </row>
    <row r="53" spans="1:16" ht="14.25" customHeight="1" x14ac:dyDescent="0.3">
      <c r="A53" s="89"/>
      <c r="B53" s="71"/>
      <c r="C53" s="72"/>
      <c r="D53" s="84">
        <f>SUM(D26:D52)</f>
        <v>30736.879999999997</v>
      </c>
      <c r="E53" s="74"/>
      <c r="F53" s="83">
        <f t="shared" ref="F53:M53" si="11">SUM(F26:F52)</f>
        <v>0</v>
      </c>
      <c r="G53" s="83">
        <f t="shared" si="11"/>
        <v>11414.76</v>
      </c>
      <c r="H53" s="83">
        <f t="shared" si="11"/>
        <v>11414.76</v>
      </c>
      <c r="I53" s="83">
        <f t="shared" si="11"/>
        <v>0</v>
      </c>
      <c r="J53" s="83">
        <f t="shared" si="11"/>
        <v>21</v>
      </c>
      <c r="K53" s="83">
        <f t="shared" si="11"/>
        <v>14</v>
      </c>
      <c r="L53" s="83">
        <f t="shared" si="11"/>
        <v>0</v>
      </c>
      <c r="M53" s="83">
        <f t="shared" si="11"/>
        <v>35</v>
      </c>
      <c r="N53" s="76"/>
      <c r="O53" s="77"/>
      <c r="P53" s="75"/>
    </row>
    <row r="54" spans="1:16" ht="14.25" customHeight="1" x14ac:dyDescent="0.3">
      <c r="A54" s="63">
        <v>4</v>
      </c>
      <c r="B54" s="64" t="s">
        <v>46</v>
      </c>
      <c r="C54" s="65"/>
      <c r="D54" s="66"/>
      <c r="E54" s="67"/>
      <c r="F54" s="82"/>
      <c r="G54" s="82"/>
      <c r="H54" s="82"/>
      <c r="I54" s="82"/>
      <c r="J54" s="82"/>
      <c r="K54" s="82"/>
      <c r="L54" s="82"/>
      <c r="M54" s="82"/>
      <c r="N54" s="69"/>
      <c r="O54" s="70"/>
      <c r="P54" s="68"/>
    </row>
    <row r="55" spans="1:16" ht="28.5" customHeight="1" x14ac:dyDescent="0.3">
      <c r="A55" s="102"/>
      <c r="B55" s="98" t="s">
        <v>57</v>
      </c>
      <c r="C55" s="99" t="s">
        <v>29</v>
      </c>
      <c r="D55" s="96">
        <v>175</v>
      </c>
      <c r="E55" s="101" t="s">
        <v>184</v>
      </c>
      <c r="F55" s="96">
        <f>10%*D55</f>
        <v>17.5</v>
      </c>
      <c r="G55" s="97">
        <v>0</v>
      </c>
      <c r="H55" s="96">
        <f t="shared" ref="H55:H61" si="12">SUM(F55:G55)</f>
        <v>17.5</v>
      </c>
      <c r="I55" s="97">
        <v>0</v>
      </c>
      <c r="J55" s="97"/>
      <c r="K55" s="97">
        <v>0</v>
      </c>
      <c r="L55" s="97">
        <v>0</v>
      </c>
      <c r="M55" s="97">
        <f t="shared" ref="M55:M61" si="13">SUM(I55:L55)</f>
        <v>0</v>
      </c>
      <c r="N55" s="35"/>
      <c r="O55" s="36" t="s">
        <v>93</v>
      </c>
      <c r="P55" s="16"/>
    </row>
    <row r="56" spans="1:16" ht="14.25" customHeight="1" x14ac:dyDescent="0.3">
      <c r="A56" s="13"/>
      <c r="B56" s="14" t="s">
        <v>58</v>
      </c>
      <c r="C56" s="15" t="s">
        <v>33</v>
      </c>
      <c r="D56" s="26">
        <v>270</v>
      </c>
      <c r="E56" s="47" t="s">
        <v>185</v>
      </c>
      <c r="F56" s="26">
        <f>10%*D56</f>
        <v>27</v>
      </c>
      <c r="G56" s="19">
        <v>0</v>
      </c>
      <c r="H56" s="26">
        <f t="shared" si="12"/>
        <v>27</v>
      </c>
      <c r="I56" s="19">
        <v>0</v>
      </c>
      <c r="J56" s="19"/>
      <c r="K56" s="19">
        <v>0</v>
      </c>
      <c r="L56" s="19">
        <v>0</v>
      </c>
      <c r="M56" s="19">
        <f t="shared" si="13"/>
        <v>0</v>
      </c>
      <c r="N56" s="35"/>
      <c r="O56" s="36"/>
      <c r="P56" s="16"/>
    </row>
    <row r="57" spans="1:16" ht="24" customHeight="1" x14ac:dyDescent="0.3">
      <c r="A57" s="13"/>
      <c r="B57" s="98" t="s">
        <v>59</v>
      </c>
      <c r="C57" s="99" t="s">
        <v>42</v>
      </c>
      <c r="D57" s="96">
        <v>798.93</v>
      </c>
      <c r="E57" s="101" t="s">
        <v>184</v>
      </c>
      <c r="F57" s="96">
        <f>10%*D57</f>
        <v>79.893000000000001</v>
      </c>
      <c r="G57" s="97">
        <v>0</v>
      </c>
      <c r="H57" s="96">
        <f t="shared" si="12"/>
        <v>79.893000000000001</v>
      </c>
      <c r="I57" s="97">
        <v>0</v>
      </c>
      <c r="J57" s="97"/>
      <c r="K57" s="97">
        <v>0</v>
      </c>
      <c r="L57" s="97">
        <v>0</v>
      </c>
      <c r="M57" s="97">
        <f t="shared" si="13"/>
        <v>0</v>
      </c>
      <c r="N57" s="35"/>
      <c r="O57" s="36"/>
      <c r="P57" s="16"/>
    </row>
    <row r="58" spans="1:16" ht="28.5" customHeight="1" x14ac:dyDescent="0.3">
      <c r="A58" s="13"/>
      <c r="B58" s="98" t="s">
        <v>60</v>
      </c>
      <c r="C58" s="99" t="s">
        <v>21</v>
      </c>
      <c r="D58" s="96">
        <v>1086.55</v>
      </c>
      <c r="E58" s="101" t="s">
        <v>186</v>
      </c>
      <c r="F58" s="96">
        <f>16%*D58</f>
        <v>173.84799999999998</v>
      </c>
      <c r="G58" s="97">
        <v>0</v>
      </c>
      <c r="H58" s="96">
        <f t="shared" si="12"/>
        <v>173.84799999999998</v>
      </c>
      <c r="I58" s="97">
        <v>0</v>
      </c>
      <c r="J58" s="97">
        <v>3</v>
      </c>
      <c r="K58" s="97">
        <v>3</v>
      </c>
      <c r="L58" s="97">
        <v>0</v>
      </c>
      <c r="M58" s="97">
        <f t="shared" si="13"/>
        <v>6</v>
      </c>
      <c r="N58" s="35"/>
      <c r="O58" s="36"/>
      <c r="P58" s="16"/>
    </row>
    <row r="59" spans="1:16" ht="17.25" customHeight="1" x14ac:dyDescent="0.3">
      <c r="A59" s="13"/>
      <c r="B59" s="98"/>
      <c r="C59" s="99"/>
      <c r="D59" s="96"/>
      <c r="E59" s="100" t="s">
        <v>185</v>
      </c>
      <c r="F59" s="96">
        <v>65</v>
      </c>
      <c r="G59" s="97">
        <v>0</v>
      </c>
      <c r="H59" s="96">
        <f t="shared" si="12"/>
        <v>65</v>
      </c>
      <c r="I59" s="97">
        <v>0</v>
      </c>
      <c r="J59" s="97"/>
      <c r="K59" s="97">
        <v>0</v>
      </c>
      <c r="L59" s="97">
        <v>0</v>
      </c>
      <c r="M59" s="97">
        <f t="shared" si="13"/>
        <v>0</v>
      </c>
      <c r="N59" s="35"/>
      <c r="O59" s="36"/>
      <c r="P59" s="16"/>
    </row>
    <row r="60" spans="1:16" ht="14.25" customHeight="1" x14ac:dyDescent="0.3">
      <c r="A60" s="16"/>
      <c r="B60" s="14" t="s">
        <v>61</v>
      </c>
      <c r="C60" s="15" t="s">
        <v>22</v>
      </c>
      <c r="D60" s="26">
        <v>1084.55</v>
      </c>
      <c r="E60" s="47" t="s">
        <v>134</v>
      </c>
      <c r="F60" s="26">
        <f>10%*D60</f>
        <v>108.455</v>
      </c>
      <c r="G60" s="19">
        <v>0</v>
      </c>
      <c r="H60" s="26">
        <f t="shared" si="12"/>
        <v>108.455</v>
      </c>
      <c r="I60" s="19">
        <v>0</v>
      </c>
      <c r="J60" s="19">
        <v>4</v>
      </c>
      <c r="K60" s="19">
        <v>3</v>
      </c>
      <c r="L60" s="19">
        <v>0</v>
      </c>
      <c r="M60" s="19">
        <f t="shared" si="13"/>
        <v>7</v>
      </c>
      <c r="N60" s="35"/>
      <c r="O60" s="36"/>
      <c r="P60" s="16"/>
    </row>
    <row r="61" spans="1:16" ht="14.25" customHeight="1" x14ac:dyDescent="0.3">
      <c r="A61" s="87"/>
      <c r="B61" s="55" t="s">
        <v>62</v>
      </c>
      <c r="C61" s="56" t="s">
        <v>43</v>
      </c>
      <c r="D61" s="57">
        <v>33</v>
      </c>
      <c r="E61" s="47" t="s">
        <v>53</v>
      </c>
      <c r="F61" s="26">
        <f>10%*D61</f>
        <v>3.3000000000000003</v>
      </c>
      <c r="G61" s="19">
        <v>0</v>
      </c>
      <c r="H61" s="26">
        <f t="shared" si="12"/>
        <v>3.3000000000000003</v>
      </c>
      <c r="I61" s="19">
        <v>0</v>
      </c>
      <c r="J61" s="19">
        <v>4</v>
      </c>
      <c r="K61" s="19">
        <v>0</v>
      </c>
      <c r="L61" s="19">
        <v>0</v>
      </c>
      <c r="M61" s="19">
        <f t="shared" si="13"/>
        <v>4</v>
      </c>
      <c r="N61" s="80"/>
      <c r="O61" s="81"/>
      <c r="P61" s="87"/>
    </row>
    <row r="62" spans="1:16" ht="14.25" customHeight="1" x14ac:dyDescent="0.3">
      <c r="A62" s="75"/>
      <c r="B62" s="71"/>
      <c r="C62" s="72"/>
      <c r="D62" s="73">
        <f>SUM(D55:D61)</f>
        <v>3448.0299999999997</v>
      </c>
      <c r="E62" s="74"/>
      <c r="F62" s="73">
        <f t="shared" ref="F62:K62" si="14">SUM(F55:F61)</f>
        <v>474.99599999999998</v>
      </c>
      <c r="G62" s="83">
        <f t="shared" si="14"/>
        <v>0</v>
      </c>
      <c r="H62" s="73">
        <f t="shared" si="14"/>
        <v>474.99599999999998</v>
      </c>
      <c r="I62" s="83">
        <f t="shared" si="14"/>
        <v>0</v>
      </c>
      <c r="J62" s="83">
        <f t="shared" si="14"/>
        <v>11</v>
      </c>
      <c r="K62" s="83">
        <f t="shared" si="14"/>
        <v>6</v>
      </c>
      <c r="L62" s="83"/>
      <c r="M62" s="83">
        <f>SUM(M55:M61)</f>
        <v>17</v>
      </c>
      <c r="N62" s="76"/>
      <c r="O62" s="77"/>
      <c r="P62" s="75"/>
    </row>
    <row r="63" spans="1:16" ht="14.25" customHeight="1" x14ac:dyDescent="0.3">
      <c r="A63" s="63">
        <v>5</v>
      </c>
      <c r="B63" s="64" t="s">
        <v>96</v>
      </c>
      <c r="C63" s="65"/>
      <c r="D63" s="66"/>
      <c r="E63" s="67"/>
      <c r="F63" s="66"/>
      <c r="G63" s="82"/>
      <c r="H63" s="66"/>
      <c r="I63" s="82"/>
      <c r="J63" s="82"/>
      <c r="K63" s="82"/>
      <c r="L63" s="82"/>
      <c r="M63" s="82"/>
      <c r="N63" s="69"/>
      <c r="O63" s="70"/>
      <c r="P63" s="68"/>
    </row>
    <row r="64" spans="1:16" ht="14.25" customHeight="1" x14ac:dyDescent="0.3">
      <c r="A64" s="16"/>
      <c r="B64" s="14" t="s">
        <v>57</v>
      </c>
      <c r="C64" s="15" t="s">
        <v>22</v>
      </c>
      <c r="D64" s="26">
        <v>9.5</v>
      </c>
      <c r="E64" s="47" t="s">
        <v>163</v>
      </c>
      <c r="F64" s="26">
        <f>10%*D64</f>
        <v>0.95000000000000007</v>
      </c>
      <c r="G64" s="19">
        <v>0</v>
      </c>
      <c r="H64" s="26">
        <f t="shared" ref="H64:H72" si="15">SUM(F64:G64)</f>
        <v>0.95000000000000007</v>
      </c>
      <c r="I64" s="19">
        <v>0</v>
      </c>
      <c r="J64" s="19"/>
      <c r="K64" s="19">
        <v>0</v>
      </c>
      <c r="L64" s="19">
        <v>0</v>
      </c>
      <c r="M64" s="19">
        <f>SUM(I64:L64)</f>
        <v>0</v>
      </c>
      <c r="N64" s="35"/>
      <c r="O64" s="36" t="s">
        <v>136</v>
      </c>
      <c r="P64" s="16"/>
    </row>
    <row r="65" spans="1:16" ht="14.25" customHeight="1" x14ac:dyDescent="0.3">
      <c r="A65" s="16"/>
      <c r="B65" s="14" t="s">
        <v>58</v>
      </c>
      <c r="C65" s="15" t="s">
        <v>21</v>
      </c>
      <c r="D65" s="26">
        <v>17.11</v>
      </c>
      <c r="E65" s="47" t="s">
        <v>164</v>
      </c>
      <c r="F65" s="26">
        <f>10%*D65</f>
        <v>1.7110000000000001</v>
      </c>
      <c r="G65" s="19">
        <v>0</v>
      </c>
      <c r="H65" s="26">
        <f t="shared" si="15"/>
        <v>1.7110000000000001</v>
      </c>
      <c r="I65" s="19">
        <v>0</v>
      </c>
      <c r="J65" s="19">
        <v>2</v>
      </c>
      <c r="K65" s="19">
        <v>0</v>
      </c>
      <c r="L65" s="19">
        <v>0</v>
      </c>
      <c r="M65" s="19">
        <f t="shared" ref="M65:M72" si="16">SUM(I65:L65)</f>
        <v>2</v>
      </c>
      <c r="N65" s="35"/>
      <c r="O65" s="36" t="s">
        <v>50</v>
      </c>
      <c r="P65" s="16"/>
    </row>
    <row r="66" spans="1:16" ht="30.75" customHeight="1" x14ac:dyDescent="0.3">
      <c r="A66" s="16"/>
      <c r="B66" s="14"/>
      <c r="C66" s="15"/>
      <c r="D66" s="26"/>
      <c r="E66" s="49" t="s">
        <v>187</v>
      </c>
      <c r="F66" s="96">
        <v>1</v>
      </c>
      <c r="G66" s="97">
        <v>0</v>
      </c>
      <c r="H66" s="96">
        <f t="shared" si="15"/>
        <v>1</v>
      </c>
      <c r="I66" s="97">
        <v>0</v>
      </c>
      <c r="J66" s="97">
        <v>0</v>
      </c>
      <c r="K66" s="97">
        <v>0</v>
      </c>
      <c r="L66" s="97">
        <v>0</v>
      </c>
      <c r="M66" s="97">
        <f t="shared" si="16"/>
        <v>0</v>
      </c>
      <c r="N66" s="35"/>
      <c r="O66" s="36"/>
      <c r="P66" s="16"/>
    </row>
    <row r="67" spans="1:16" ht="14.25" customHeight="1" x14ac:dyDescent="0.3">
      <c r="A67" s="16"/>
      <c r="B67" s="14" t="s">
        <v>59</v>
      </c>
      <c r="C67" s="15" t="s">
        <v>43</v>
      </c>
      <c r="D67" s="26">
        <v>17.79</v>
      </c>
      <c r="E67" s="47" t="s">
        <v>163</v>
      </c>
      <c r="F67" s="26">
        <f t="shared" ref="F67:F72" si="17">10%*D67</f>
        <v>1.7789999999999999</v>
      </c>
      <c r="G67" s="19">
        <v>0</v>
      </c>
      <c r="H67" s="26">
        <f t="shared" si="15"/>
        <v>1.7789999999999999</v>
      </c>
      <c r="I67" s="19">
        <v>0</v>
      </c>
      <c r="J67" s="19">
        <v>2</v>
      </c>
      <c r="K67" s="19">
        <v>1</v>
      </c>
      <c r="L67" s="19">
        <v>0</v>
      </c>
      <c r="M67" s="19">
        <f t="shared" si="16"/>
        <v>3</v>
      </c>
      <c r="N67" s="35"/>
      <c r="O67" s="36" t="s">
        <v>137</v>
      </c>
      <c r="P67" s="16"/>
    </row>
    <row r="68" spans="1:16" ht="14.25" customHeight="1" x14ac:dyDescent="0.3">
      <c r="A68" s="16"/>
      <c r="B68" s="14" t="s">
        <v>60</v>
      </c>
      <c r="C68" s="15" t="s">
        <v>44</v>
      </c>
      <c r="D68" s="26">
        <v>30.5</v>
      </c>
      <c r="E68" s="47" t="s">
        <v>164</v>
      </c>
      <c r="F68" s="26">
        <f t="shared" si="17"/>
        <v>3.0500000000000003</v>
      </c>
      <c r="G68" s="19">
        <v>0</v>
      </c>
      <c r="H68" s="26">
        <f t="shared" si="15"/>
        <v>3.0500000000000003</v>
      </c>
      <c r="I68" s="19">
        <v>0</v>
      </c>
      <c r="J68" s="19">
        <v>0</v>
      </c>
      <c r="K68" s="19">
        <v>0</v>
      </c>
      <c r="L68" s="19">
        <v>0</v>
      </c>
      <c r="M68" s="19">
        <f t="shared" si="16"/>
        <v>0</v>
      </c>
      <c r="N68" s="35"/>
      <c r="O68" s="36" t="s">
        <v>145</v>
      </c>
      <c r="P68" s="16"/>
    </row>
    <row r="69" spans="1:16" ht="14.25" customHeight="1" x14ac:dyDescent="0.3">
      <c r="A69" s="16"/>
      <c r="B69" s="14" t="s">
        <v>61</v>
      </c>
      <c r="C69" s="15" t="s">
        <v>33</v>
      </c>
      <c r="D69" s="26">
        <v>5.2</v>
      </c>
      <c r="E69" s="47" t="s">
        <v>163</v>
      </c>
      <c r="F69" s="26">
        <f t="shared" si="17"/>
        <v>0.52</v>
      </c>
      <c r="G69" s="19">
        <v>0</v>
      </c>
      <c r="H69" s="26">
        <f t="shared" si="15"/>
        <v>0.52</v>
      </c>
      <c r="I69" s="19">
        <v>0</v>
      </c>
      <c r="J69" s="19">
        <v>0</v>
      </c>
      <c r="K69" s="19">
        <v>0</v>
      </c>
      <c r="L69" s="19">
        <v>0</v>
      </c>
      <c r="M69" s="19">
        <f t="shared" si="16"/>
        <v>0</v>
      </c>
      <c r="N69" s="35"/>
      <c r="O69" s="36" t="s">
        <v>146</v>
      </c>
      <c r="P69" s="16"/>
    </row>
    <row r="70" spans="1:16" ht="14.25" customHeight="1" x14ac:dyDescent="0.3">
      <c r="A70" s="16"/>
      <c r="B70" s="14" t="s">
        <v>62</v>
      </c>
      <c r="C70" s="15" t="s">
        <v>32</v>
      </c>
      <c r="D70" s="26">
        <v>0.25</v>
      </c>
      <c r="E70" s="47" t="s">
        <v>163</v>
      </c>
      <c r="F70" s="26">
        <f t="shared" si="17"/>
        <v>2.5000000000000001E-2</v>
      </c>
      <c r="G70" s="19">
        <v>0</v>
      </c>
      <c r="H70" s="26">
        <f t="shared" si="15"/>
        <v>2.5000000000000001E-2</v>
      </c>
      <c r="I70" s="19">
        <v>0</v>
      </c>
      <c r="J70" s="19">
        <v>0</v>
      </c>
      <c r="K70" s="19">
        <v>0</v>
      </c>
      <c r="L70" s="19">
        <v>0</v>
      </c>
      <c r="M70" s="19">
        <f t="shared" si="16"/>
        <v>0</v>
      </c>
      <c r="N70" s="35"/>
      <c r="O70" s="36"/>
      <c r="P70" s="16"/>
    </row>
    <row r="71" spans="1:16" ht="14.25" customHeight="1" x14ac:dyDescent="0.3">
      <c r="A71" s="16"/>
      <c r="B71" s="14">
        <v>9</v>
      </c>
      <c r="C71" s="15" t="s">
        <v>30</v>
      </c>
      <c r="D71" s="26">
        <v>9.5</v>
      </c>
      <c r="E71" s="47" t="s">
        <v>163</v>
      </c>
      <c r="F71" s="26">
        <f t="shared" si="17"/>
        <v>0.95000000000000007</v>
      </c>
      <c r="G71" s="19">
        <v>0</v>
      </c>
      <c r="H71" s="26">
        <f t="shared" si="15"/>
        <v>0.95000000000000007</v>
      </c>
      <c r="I71" s="19">
        <v>0</v>
      </c>
      <c r="J71" s="19">
        <v>0</v>
      </c>
      <c r="K71" s="19">
        <v>0</v>
      </c>
      <c r="L71" s="19">
        <v>0</v>
      </c>
      <c r="M71" s="19">
        <f t="shared" si="16"/>
        <v>0</v>
      </c>
      <c r="N71" s="35"/>
      <c r="O71" s="36"/>
      <c r="P71" s="16"/>
    </row>
    <row r="72" spans="1:16" ht="14.25" customHeight="1" x14ac:dyDescent="0.3">
      <c r="A72" s="87"/>
      <c r="B72" s="55" t="s">
        <v>64</v>
      </c>
      <c r="C72" s="56" t="s">
        <v>31</v>
      </c>
      <c r="D72" s="57">
        <v>4</v>
      </c>
      <c r="E72" s="85" t="s">
        <v>164</v>
      </c>
      <c r="F72" s="26">
        <f t="shared" si="17"/>
        <v>0.4</v>
      </c>
      <c r="G72" s="19">
        <v>0</v>
      </c>
      <c r="H72" s="26">
        <f t="shared" si="15"/>
        <v>0.4</v>
      </c>
      <c r="I72" s="79">
        <v>0</v>
      </c>
      <c r="J72" s="79">
        <v>0</v>
      </c>
      <c r="K72" s="79">
        <v>0</v>
      </c>
      <c r="L72" s="79">
        <v>0</v>
      </c>
      <c r="M72" s="79">
        <f t="shared" si="16"/>
        <v>0</v>
      </c>
      <c r="N72" s="80"/>
      <c r="O72" s="81"/>
      <c r="P72" s="87"/>
    </row>
    <row r="73" spans="1:16" ht="14.25" customHeight="1" x14ac:dyDescent="0.3">
      <c r="A73" s="75"/>
      <c r="B73" s="71"/>
      <c r="C73" s="72"/>
      <c r="D73" s="73">
        <f>SUM(D64:D72)</f>
        <v>93.850000000000009</v>
      </c>
      <c r="E73" s="74"/>
      <c r="F73" s="73">
        <f t="shared" ref="F73:K73" si="18">SUM(F64:F72)</f>
        <v>10.385</v>
      </c>
      <c r="G73" s="83">
        <f t="shared" si="18"/>
        <v>0</v>
      </c>
      <c r="H73" s="73">
        <f t="shared" si="18"/>
        <v>10.385</v>
      </c>
      <c r="I73" s="83">
        <f t="shared" si="18"/>
        <v>0</v>
      </c>
      <c r="J73" s="83">
        <f t="shared" si="18"/>
        <v>4</v>
      </c>
      <c r="K73" s="83">
        <f t="shared" si="18"/>
        <v>1</v>
      </c>
      <c r="L73" s="83">
        <f t="shared" ref="L73" si="19">SUM(L49:L56)</f>
        <v>0</v>
      </c>
      <c r="M73" s="83">
        <f>SUM(M64:M72)</f>
        <v>5</v>
      </c>
      <c r="N73" s="76"/>
      <c r="O73" s="77"/>
      <c r="P73" s="75"/>
    </row>
    <row r="74" spans="1:16" ht="14.25" customHeight="1" x14ac:dyDescent="0.3">
      <c r="A74" s="103">
        <v>6</v>
      </c>
      <c r="B74" s="104" t="s">
        <v>116</v>
      </c>
      <c r="C74" s="104"/>
      <c r="D74" s="105"/>
      <c r="E74" s="106"/>
      <c r="F74" s="105"/>
      <c r="G74" s="107"/>
      <c r="H74" s="105"/>
      <c r="I74" s="107"/>
      <c r="J74" s="107"/>
      <c r="K74" s="107"/>
      <c r="L74" s="107"/>
      <c r="M74" s="107"/>
      <c r="N74" s="114"/>
      <c r="O74" s="112"/>
      <c r="P74" s="104"/>
    </row>
    <row r="75" spans="1:16" ht="51.75" customHeight="1" x14ac:dyDescent="0.3">
      <c r="A75" s="16"/>
      <c r="B75" s="98" t="s">
        <v>57</v>
      </c>
      <c r="C75" s="99" t="s">
        <v>30</v>
      </c>
      <c r="D75" s="96">
        <v>24.5</v>
      </c>
      <c r="E75" s="101" t="s">
        <v>188</v>
      </c>
      <c r="F75" s="96">
        <f>10%*D75</f>
        <v>2.4500000000000002</v>
      </c>
      <c r="G75" s="97">
        <v>0</v>
      </c>
      <c r="H75" s="96">
        <f t="shared" ref="H75:H80" si="20">SUM(F75:G75)</f>
        <v>2.4500000000000002</v>
      </c>
      <c r="I75" s="97">
        <v>0</v>
      </c>
      <c r="J75" s="97"/>
      <c r="K75" s="97">
        <v>0</v>
      </c>
      <c r="L75" s="97">
        <v>0</v>
      </c>
      <c r="M75" s="97">
        <f>SUM(I75:L75)</f>
        <v>0</v>
      </c>
      <c r="N75" s="35"/>
      <c r="O75" s="40" t="s">
        <v>189</v>
      </c>
      <c r="P75" s="16"/>
    </row>
    <row r="76" spans="1:16" ht="23.25" customHeight="1" x14ac:dyDescent="0.3">
      <c r="A76" s="16"/>
      <c r="B76" s="98"/>
      <c r="C76" s="99"/>
      <c r="D76" s="96"/>
      <c r="E76" s="100" t="s">
        <v>182</v>
      </c>
      <c r="F76" s="96">
        <v>3</v>
      </c>
      <c r="G76" s="97">
        <v>0</v>
      </c>
      <c r="H76" s="96">
        <f t="shared" si="20"/>
        <v>3</v>
      </c>
      <c r="I76" s="97">
        <v>0</v>
      </c>
      <c r="J76" s="97"/>
      <c r="K76" s="97">
        <v>0</v>
      </c>
      <c r="L76" s="97">
        <v>0</v>
      </c>
      <c r="M76" s="97">
        <f>SUM(I76:L76)</f>
        <v>0</v>
      </c>
      <c r="N76" s="35"/>
      <c r="O76" s="36"/>
      <c r="P76" s="16"/>
    </row>
    <row r="77" spans="1:16" ht="14.25" customHeight="1" x14ac:dyDescent="0.3">
      <c r="A77" s="16"/>
      <c r="B77" s="14" t="s">
        <v>58</v>
      </c>
      <c r="C77" s="15" t="s">
        <v>44</v>
      </c>
      <c r="D77" s="26">
        <v>72.03</v>
      </c>
      <c r="E77" s="47" t="s">
        <v>182</v>
      </c>
      <c r="F77" s="26">
        <f>10%*D77</f>
        <v>7.2030000000000003</v>
      </c>
      <c r="G77" s="19">
        <v>0</v>
      </c>
      <c r="H77" s="26">
        <f t="shared" si="20"/>
        <v>7.2030000000000003</v>
      </c>
      <c r="I77" s="19">
        <v>0</v>
      </c>
      <c r="J77" s="19">
        <v>2</v>
      </c>
      <c r="K77" s="19">
        <v>0</v>
      </c>
      <c r="L77" s="19">
        <v>0</v>
      </c>
      <c r="M77" s="19">
        <f t="shared" ref="M77:M80" si="21">SUM(I77:L77)</f>
        <v>2</v>
      </c>
      <c r="N77" s="35"/>
      <c r="O77" s="36"/>
      <c r="P77" s="16"/>
    </row>
    <row r="78" spans="1:16" ht="25.5" customHeight="1" x14ac:dyDescent="0.3">
      <c r="A78" s="16"/>
      <c r="B78" s="14"/>
      <c r="C78" s="15"/>
      <c r="D78" s="26"/>
      <c r="E78" s="101" t="s">
        <v>181</v>
      </c>
      <c r="F78" s="96">
        <v>3</v>
      </c>
      <c r="G78" s="97">
        <v>0</v>
      </c>
      <c r="H78" s="96">
        <f t="shared" si="20"/>
        <v>3</v>
      </c>
      <c r="I78" s="97">
        <v>0</v>
      </c>
      <c r="J78" s="97"/>
      <c r="K78" s="97">
        <v>0</v>
      </c>
      <c r="L78" s="97">
        <v>0</v>
      </c>
      <c r="M78" s="97">
        <f>SUM(I78:L78)</f>
        <v>0</v>
      </c>
      <c r="N78" s="35"/>
      <c r="O78" s="36"/>
      <c r="P78" s="16"/>
    </row>
    <row r="79" spans="1:16" ht="23.25" customHeight="1" x14ac:dyDescent="0.3">
      <c r="A79" s="16"/>
      <c r="B79" s="14" t="s">
        <v>59</v>
      </c>
      <c r="C79" s="15" t="s">
        <v>33</v>
      </c>
      <c r="D79" s="26">
        <v>14.2</v>
      </c>
      <c r="E79" s="101" t="s">
        <v>181</v>
      </c>
      <c r="F79" s="26">
        <f>10%*D79</f>
        <v>1.42</v>
      </c>
      <c r="G79" s="19">
        <v>0</v>
      </c>
      <c r="H79" s="26">
        <f t="shared" si="20"/>
        <v>1.42</v>
      </c>
      <c r="I79" s="19">
        <v>0</v>
      </c>
      <c r="J79" s="19"/>
      <c r="K79" s="19">
        <v>1</v>
      </c>
      <c r="L79" s="19">
        <v>0</v>
      </c>
      <c r="M79" s="19">
        <f t="shared" si="21"/>
        <v>1</v>
      </c>
      <c r="N79" s="35"/>
      <c r="O79" s="36"/>
      <c r="P79" s="16"/>
    </row>
    <row r="80" spans="1:16" ht="40.5" customHeight="1" x14ac:dyDescent="0.3">
      <c r="A80" s="16"/>
      <c r="B80" s="122" t="s">
        <v>61</v>
      </c>
      <c r="C80" s="123" t="s">
        <v>35</v>
      </c>
      <c r="D80" s="124">
        <v>35.72</v>
      </c>
      <c r="E80" s="101" t="s">
        <v>183</v>
      </c>
      <c r="F80" s="96">
        <f>10%*D80</f>
        <v>3.5720000000000001</v>
      </c>
      <c r="G80" s="97">
        <v>0</v>
      </c>
      <c r="H80" s="96">
        <f t="shared" si="20"/>
        <v>3.5720000000000001</v>
      </c>
      <c r="I80" s="97">
        <v>0</v>
      </c>
      <c r="J80" s="97">
        <v>0</v>
      </c>
      <c r="K80" s="97">
        <v>0</v>
      </c>
      <c r="L80" s="97">
        <v>0</v>
      </c>
      <c r="M80" s="97">
        <f t="shared" si="21"/>
        <v>0</v>
      </c>
      <c r="N80" s="35"/>
      <c r="O80" s="36"/>
      <c r="P80" s="16"/>
    </row>
    <row r="81" spans="1:16" ht="15.75" customHeight="1" x14ac:dyDescent="0.3">
      <c r="A81" s="68"/>
      <c r="B81" s="128"/>
      <c r="C81" s="126"/>
      <c r="D81" s="127">
        <f>SUM(D75:D80)</f>
        <v>146.44999999999999</v>
      </c>
      <c r="E81" s="129"/>
      <c r="F81" s="130"/>
      <c r="G81" s="131"/>
      <c r="H81" s="130"/>
      <c r="I81" s="131"/>
      <c r="J81" s="131"/>
      <c r="K81" s="131"/>
      <c r="L81" s="131"/>
      <c r="M81" s="131"/>
      <c r="N81" s="69"/>
      <c r="O81" s="70"/>
      <c r="P81" s="87"/>
    </row>
    <row r="82" spans="1:16" ht="16.5" customHeight="1" x14ac:dyDescent="0.3">
      <c r="A82" s="103">
        <v>7</v>
      </c>
      <c r="B82" s="8" t="s">
        <v>117</v>
      </c>
      <c r="C82" s="10"/>
      <c r="D82" s="90"/>
      <c r="E82" s="106"/>
      <c r="F82" s="105"/>
      <c r="G82" s="107"/>
      <c r="H82" s="105"/>
      <c r="I82" s="107"/>
      <c r="J82" s="107"/>
      <c r="K82" s="107"/>
      <c r="L82" s="107"/>
      <c r="M82" s="107"/>
      <c r="N82" s="114"/>
      <c r="O82" s="112"/>
      <c r="P82" s="87"/>
    </row>
    <row r="83" spans="1:16" ht="27.75" customHeight="1" x14ac:dyDescent="0.3">
      <c r="A83" s="16"/>
      <c r="B83" s="14" t="s">
        <v>57</v>
      </c>
      <c r="C83" s="15" t="s">
        <v>22</v>
      </c>
      <c r="D83" s="26">
        <v>296.95</v>
      </c>
      <c r="E83" s="101" t="s">
        <v>203</v>
      </c>
      <c r="F83" s="96">
        <f>10%*D83</f>
        <v>29.695</v>
      </c>
      <c r="G83" s="97">
        <v>0</v>
      </c>
      <c r="H83" s="96">
        <f t="shared" ref="H83:H88" si="22">SUM(F83:G83)</f>
        <v>29.695</v>
      </c>
      <c r="I83" s="97">
        <v>0</v>
      </c>
      <c r="J83" s="97"/>
      <c r="K83" s="97">
        <v>0</v>
      </c>
      <c r="L83" s="97">
        <v>3</v>
      </c>
      <c r="M83" s="97">
        <f>SUM(I83:L83)</f>
        <v>3</v>
      </c>
      <c r="N83" s="35"/>
      <c r="O83" s="40" t="s">
        <v>204</v>
      </c>
      <c r="P83" s="87"/>
    </row>
    <row r="84" spans="1:16" ht="23.25" customHeight="1" x14ac:dyDescent="0.3">
      <c r="A84" s="16"/>
      <c r="B84" s="14" t="s">
        <v>58</v>
      </c>
      <c r="C84" s="15" t="s">
        <v>42</v>
      </c>
      <c r="D84" s="26">
        <v>190.5</v>
      </c>
      <c r="E84" s="101" t="s">
        <v>203</v>
      </c>
      <c r="F84" s="96">
        <f>10%*D84</f>
        <v>19.05</v>
      </c>
      <c r="G84" s="97">
        <v>0</v>
      </c>
      <c r="H84" s="96">
        <f t="shared" si="22"/>
        <v>19.05</v>
      </c>
      <c r="I84" s="97">
        <v>0</v>
      </c>
      <c r="J84" s="97"/>
      <c r="K84" s="97">
        <v>0</v>
      </c>
      <c r="L84" s="97">
        <v>0</v>
      </c>
      <c r="M84" s="97">
        <f>SUM(I84:L84)</f>
        <v>0</v>
      </c>
      <c r="N84" s="35"/>
      <c r="O84" s="36"/>
      <c r="P84" s="87"/>
    </row>
    <row r="85" spans="1:16" ht="20.25" customHeight="1" x14ac:dyDescent="0.3">
      <c r="A85" s="16"/>
      <c r="B85" s="14" t="s">
        <v>59</v>
      </c>
      <c r="C85" s="15" t="s">
        <v>21</v>
      </c>
      <c r="D85" s="18" t="s">
        <v>201</v>
      </c>
      <c r="E85" s="101" t="s">
        <v>203</v>
      </c>
      <c r="F85" s="96">
        <v>3</v>
      </c>
      <c r="G85" s="97">
        <v>0</v>
      </c>
      <c r="H85" s="96">
        <f t="shared" si="22"/>
        <v>3</v>
      </c>
      <c r="I85" s="97">
        <v>0</v>
      </c>
      <c r="J85" s="97"/>
      <c r="K85" s="97">
        <v>0</v>
      </c>
      <c r="L85" s="97">
        <v>0</v>
      </c>
      <c r="M85" s="97">
        <f>SUM(I85:L85)</f>
        <v>0</v>
      </c>
      <c r="N85" s="35"/>
      <c r="O85" s="36"/>
      <c r="P85" s="87"/>
    </row>
    <row r="86" spans="1:16" ht="27" customHeight="1" x14ac:dyDescent="0.3">
      <c r="A86" s="16"/>
      <c r="B86" s="14" t="s">
        <v>60</v>
      </c>
      <c r="C86" s="15" t="s">
        <v>43</v>
      </c>
      <c r="D86" s="26">
        <v>244.8</v>
      </c>
      <c r="E86" s="101" t="s">
        <v>203</v>
      </c>
      <c r="F86" s="96">
        <f>10%*D86</f>
        <v>24.480000000000004</v>
      </c>
      <c r="G86" s="97">
        <v>0</v>
      </c>
      <c r="H86" s="96">
        <f t="shared" si="22"/>
        <v>24.480000000000004</v>
      </c>
      <c r="I86" s="97">
        <v>0</v>
      </c>
      <c r="J86" s="97"/>
      <c r="K86" s="97">
        <v>0</v>
      </c>
      <c r="L86" s="97">
        <v>2</v>
      </c>
      <c r="M86" s="97">
        <f>SUM(I86:L86)</f>
        <v>2</v>
      </c>
      <c r="N86" s="35"/>
      <c r="O86" s="36"/>
      <c r="P86" s="87"/>
    </row>
    <row r="87" spans="1:16" ht="24" customHeight="1" x14ac:dyDescent="0.3">
      <c r="A87" s="16"/>
      <c r="B87" s="14" t="s">
        <v>61</v>
      </c>
      <c r="C87" s="15" t="s">
        <v>44</v>
      </c>
      <c r="D87" s="26">
        <v>57.95</v>
      </c>
      <c r="E87" s="101" t="s">
        <v>203</v>
      </c>
      <c r="F87" s="26">
        <f>10%*D87</f>
        <v>5.7950000000000008</v>
      </c>
      <c r="G87" s="19">
        <v>0</v>
      </c>
      <c r="H87" s="26">
        <f t="shared" si="22"/>
        <v>5.7950000000000008</v>
      </c>
      <c r="I87" s="19">
        <v>0</v>
      </c>
      <c r="J87" s="19"/>
      <c r="K87" s="19"/>
      <c r="L87" s="19">
        <v>0</v>
      </c>
      <c r="M87" s="19">
        <f t="shared" ref="M87:M88" si="23">SUM(I87:L87)</f>
        <v>0</v>
      </c>
      <c r="N87" s="35"/>
      <c r="O87" s="36"/>
      <c r="P87" s="87"/>
    </row>
    <row r="88" spans="1:16" ht="26.25" customHeight="1" x14ac:dyDescent="0.3">
      <c r="A88" s="16"/>
      <c r="B88" s="14" t="s">
        <v>62</v>
      </c>
      <c r="C88" s="15" t="s">
        <v>27</v>
      </c>
      <c r="D88" s="26">
        <v>2.5</v>
      </c>
      <c r="E88" s="101" t="s">
        <v>203</v>
      </c>
      <c r="F88" s="96">
        <f>10%*D88</f>
        <v>0.25</v>
      </c>
      <c r="G88" s="97">
        <v>0</v>
      </c>
      <c r="H88" s="96">
        <f t="shared" si="22"/>
        <v>0.25</v>
      </c>
      <c r="I88" s="97">
        <v>0</v>
      </c>
      <c r="J88" s="97">
        <v>0</v>
      </c>
      <c r="K88" s="97">
        <v>0</v>
      </c>
      <c r="L88" s="97">
        <v>0</v>
      </c>
      <c r="M88" s="97">
        <f t="shared" si="23"/>
        <v>0</v>
      </c>
      <c r="N88" s="35"/>
      <c r="O88" s="36"/>
      <c r="P88" s="87"/>
    </row>
    <row r="89" spans="1:16" ht="14.25" customHeight="1" x14ac:dyDescent="0.3">
      <c r="A89" s="108"/>
      <c r="B89" s="117"/>
      <c r="C89" s="116"/>
      <c r="D89" s="109"/>
      <c r="E89" s="110"/>
      <c r="F89" s="109"/>
      <c r="G89" s="111"/>
      <c r="H89" s="109"/>
      <c r="I89" s="111"/>
      <c r="J89" s="111"/>
      <c r="K89" s="111"/>
      <c r="L89" s="111"/>
      <c r="M89" s="111"/>
      <c r="N89" s="115"/>
      <c r="O89" s="113"/>
      <c r="P89" s="108"/>
    </row>
    <row r="90" spans="1:16" ht="14.25" customHeight="1" x14ac:dyDescent="0.3">
      <c r="A90" s="75"/>
      <c r="B90" s="71"/>
      <c r="C90" s="72"/>
      <c r="D90" s="73">
        <f>SUM(D83:D89)</f>
        <v>792.7</v>
      </c>
      <c r="E90" s="74"/>
      <c r="F90" s="73">
        <f>SUM(F75:F89)</f>
        <v>102.91500000000001</v>
      </c>
      <c r="G90" s="83">
        <f>SUM(G75:G89)</f>
        <v>0</v>
      </c>
      <c r="H90" s="73">
        <f>SUM(H75:H89)</f>
        <v>102.91500000000001</v>
      </c>
      <c r="I90" s="83"/>
      <c r="J90" s="83"/>
      <c r="K90" s="83"/>
      <c r="L90" s="83"/>
      <c r="M90" s="83"/>
      <c r="N90" s="76"/>
      <c r="O90" s="77"/>
      <c r="P90" s="75"/>
    </row>
    <row r="91" spans="1:16" ht="8.25" customHeight="1" x14ac:dyDescent="0.3">
      <c r="A91" s="6"/>
      <c r="B91" s="9"/>
      <c r="C91" s="11"/>
      <c r="D91" s="6"/>
      <c r="E91" s="52"/>
      <c r="F91" s="7"/>
      <c r="G91" s="7"/>
      <c r="H91" s="7"/>
      <c r="I91" s="7"/>
      <c r="J91" s="7"/>
      <c r="K91" s="7"/>
      <c r="L91" s="7"/>
      <c r="M91" s="7"/>
      <c r="N91" s="9"/>
      <c r="O91" s="11"/>
      <c r="P91" s="6"/>
    </row>
    <row r="92" spans="1:16" ht="8.25" customHeight="1" x14ac:dyDescent="0.3">
      <c r="F92" s="2"/>
      <c r="G92" s="2"/>
      <c r="H92" s="2"/>
      <c r="I92" s="2"/>
      <c r="J92" s="2"/>
      <c r="K92" s="2"/>
      <c r="L92" s="2"/>
      <c r="M92" s="2"/>
    </row>
    <row r="93" spans="1:16" x14ac:dyDescent="0.3">
      <c r="F93" s="2"/>
      <c r="G93" s="2"/>
      <c r="H93" s="2"/>
      <c r="I93" s="2"/>
      <c r="J93" s="2" t="s">
        <v>207</v>
      </c>
      <c r="K93" s="2"/>
      <c r="L93" s="2"/>
      <c r="M93" s="2"/>
    </row>
    <row r="94" spans="1:16" ht="12" customHeight="1" x14ac:dyDescent="0.3">
      <c r="A94" s="395" t="s">
        <v>80</v>
      </c>
      <c r="B94" s="395"/>
      <c r="C94" s="395"/>
      <c r="D94" s="395"/>
    </row>
    <row r="95" spans="1:16" x14ac:dyDescent="0.3">
      <c r="A95" s="395" t="s">
        <v>81</v>
      </c>
      <c r="B95" s="395"/>
      <c r="C95" s="395"/>
      <c r="D95" s="395"/>
      <c r="J95" s="1" t="s">
        <v>85</v>
      </c>
    </row>
    <row r="96" spans="1:16" x14ac:dyDescent="0.3">
      <c r="A96" s="395" t="s">
        <v>82</v>
      </c>
      <c r="B96" s="395"/>
      <c r="C96" s="395"/>
      <c r="D96" s="395"/>
      <c r="J96" s="3" t="s">
        <v>86</v>
      </c>
      <c r="K96" s="1" t="s">
        <v>87</v>
      </c>
      <c r="O96" s="1" t="s">
        <v>90</v>
      </c>
    </row>
    <row r="97" spans="1:15" x14ac:dyDescent="0.3">
      <c r="A97" s="395" t="s">
        <v>83</v>
      </c>
      <c r="B97" s="395"/>
      <c r="C97" s="395"/>
      <c r="D97" s="395"/>
      <c r="K97" s="1" t="s">
        <v>91</v>
      </c>
    </row>
    <row r="98" spans="1:15" ht="13.5" customHeight="1" x14ac:dyDescent="0.3"/>
    <row r="99" spans="1:15" ht="13.5" customHeight="1" x14ac:dyDescent="0.3"/>
    <row r="100" spans="1:15" x14ac:dyDescent="0.3">
      <c r="A100" s="398" t="s">
        <v>175</v>
      </c>
      <c r="B100" s="398"/>
      <c r="C100" s="398"/>
      <c r="D100" s="398"/>
      <c r="J100" s="3" t="s">
        <v>88</v>
      </c>
      <c r="K100" s="1" t="s">
        <v>89</v>
      </c>
      <c r="O100" s="1" t="s">
        <v>90</v>
      </c>
    </row>
    <row r="101" spans="1:15" x14ac:dyDescent="0.3">
      <c r="A101" s="395" t="s">
        <v>190</v>
      </c>
      <c r="B101" s="395"/>
      <c r="C101" s="395"/>
      <c r="D101" s="395"/>
      <c r="K101" s="1" t="s">
        <v>92</v>
      </c>
    </row>
  </sheetData>
  <mergeCells count="17">
    <mergeCell ref="A1:P1"/>
    <mergeCell ref="A6:A7"/>
    <mergeCell ref="B6:C6"/>
    <mergeCell ref="D6:D7"/>
    <mergeCell ref="E6:E7"/>
    <mergeCell ref="F6:H6"/>
    <mergeCell ref="I6:M6"/>
    <mergeCell ref="N6:O7"/>
    <mergeCell ref="P6:P7"/>
    <mergeCell ref="B7:C7"/>
    <mergeCell ref="A101:D101"/>
    <mergeCell ref="O20:O23"/>
    <mergeCell ref="A94:D94"/>
    <mergeCell ref="A95:D95"/>
    <mergeCell ref="A96:D96"/>
    <mergeCell ref="A97:D97"/>
    <mergeCell ref="A100:D100"/>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P100"/>
  <sheetViews>
    <sheetView topLeftCell="A49" workbookViewId="0">
      <selection activeCell="E55" sqref="E55"/>
    </sheetView>
  </sheetViews>
  <sheetFormatPr defaultColWidth="9.1796875" defaultRowHeight="14" x14ac:dyDescent="0.3"/>
  <cols>
    <col min="1" max="1" width="9" style="1" customWidth="1"/>
    <col min="2" max="2" width="2.1796875" style="1" customWidth="1"/>
    <col min="3" max="3" width="17.7265625" style="1" customWidth="1"/>
    <col min="4" max="4" width="11.54296875" style="1" customWidth="1"/>
    <col min="5" max="5" width="27" style="1" customWidth="1"/>
    <col min="6" max="6" width="9" style="1" bestFit="1" customWidth="1"/>
    <col min="7" max="7" width="8.81640625" style="1" customWidth="1"/>
    <col min="8" max="8" width="9" style="1" customWidth="1"/>
    <col min="9" max="9" width="6.453125" style="1" bestFit="1" customWidth="1"/>
    <col min="10" max="10" width="6.81640625" style="1" bestFit="1" customWidth="1"/>
    <col min="11" max="11" width="10" style="1" bestFit="1" customWidth="1"/>
    <col min="12" max="12" width="5.54296875" style="1" bestFit="1" customWidth="1"/>
    <col min="13" max="13" width="6.81640625" style="1" bestFit="1" customWidth="1"/>
    <col min="14" max="14" width="2.1796875" style="1" customWidth="1"/>
    <col min="15" max="15" width="29.7265625" style="1" customWidth="1"/>
    <col min="16" max="16" width="10.26953125" style="1" customWidth="1"/>
    <col min="17" max="16384" width="9.1796875" style="1"/>
  </cols>
  <sheetData>
    <row r="1" spans="1:16" x14ac:dyDescent="0.3">
      <c r="A1" s="385" t="s">
        <v>177</v>
      </c>
      <c r="B1" s="385"/>
      <c r="C1" s="385"/>
      <c r="D1" s="385"/>
      <c r="E1" s="385"/>
      <c r="F1" s="385"/>
      <c r="G1" s="385"/>
      <c r="H1" s="385"/>
      <c r="I1" s="385"/>
      <c r="J1" s="385"/>
      <c r="K1" s="385"/>
      <c r="L1" s="385"/>
      <c r="M1" s="385"/>
      <c r="N1" s="385"/>
      <c r="O1" s="385"/>
      <c r="P1" s="385"/>
    </row>
    <row r="2" spans="1:16" ht="14.25" customHeight="1" x14ac:dyDescent="0.3"/>
    <row r="3" spans="1:16" ht="14.25" customHeight="1" x14ac:dyDescent="0.3">
      <c r="A3" s="1" t="s">
        <v>1</v>
      </c>
      <c r="B3" s="1" t="s">
        <v>78</v>
      </c>
      <c r="C3" s="1" t="s">
        <v>77</v>
      </c>
    </row>
    <row r="4" spans="1:16" ht="14.25" customHeight="1" x14ac:dyDescent="0.3">
      <c r="A4" s="1" t="s">
        <v>2</v>
      </c>
      <c r="B4" s="1" t="s">
        <v>78</v>
      </c>
      <c r="C4" s="4" t="s">
        <v>208</v>
      </c>
    </row>
    <row r="6" spans="1:16" x14ac:dyDescent="0.3">
      <c r="A6" s="386" t="s">
        <v>3</v>
      </c>
      <c r="B6" s="388" t="s">
        <v>4</v>
      </c>
      <c r="C6" s="388"/>
      <c r="D6" s="389" t="s">
        <v>6</v>
      </c>
      <c r="E6" s="391" t="s">
        <v>7</v>
      </c>
      <c r="F6" s="393" t="s">
        <v>170</v>
      </c>
      <c r="G6" s="393"/>
      <c r="H6" s="393"/>
      <c r="I6" s="393" t="s">
        <v>12</v>
      </c>
      <c r="J6" s="393"/>
      <c r="K6" s="393"/>
      <c r="L6" s="393"/>
      <c r="M6" s="393"/>
      <c r="N6" s="391" t="s">
        <v>17</v>
      </c>
      <c r="O6" s="391"/>
      <c r="P6" s="386" t="s">
        <v>192</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ht="14.25" customHeight="1" x14ac:dyDescent="0.3">
      <c r="A9" s="13">
        <v>1</v>
      </c>
      <c r="B9" s="14" t="s">
        <v>20</v>
      </c>
      <c r="C9" s="15"/>
      <c r="D9" s="16"/>
      <c r="E9" s="47"/>
      <c r="F9" s="16"/>
      <c r="G9" s="16"/>
      <c r="H9" s="16"/>
      <c r="I9" s="16"/>
      <c r="J9" s="16"/>
      <c r="K9" s="16"/>
      <c r="L9" s="16"/>
      <c r="M9" s="16"/>
      <c r="N9" s="35"/>
      <c r="O9" s="36"/>
      <c r="P9" s="16"/>
    </row>
    <row r="10" spans="1:16" ht="14.25" customHeight="1" x14ac:dyDescent="0.3">
      <c r="A10" s="13"/>
      <c r="B10" s="17" t="s">
        <v>57</v>
      </c>
      <c r="C10" s="15" t="s">
        <v>21</v>
      </c>
      <c r="D10" s="18">
        <v>403.56</v>
      </c>
      <c r="E10" s="47" t="s">
        <v>36</v>
      </c>
      <c r="F10" s="26">
        <f>4%*D10</f>
        <v>16.142400000000002</v>
      </c>
      <c r="G10" s="26">
        <f>4%*D10</f>
        <v>16.142400000000002</v>
      </c>
      <c r="H10" s="26">
        <f>SUM(F10:G10)</f>
        <v>32.284800000000004</v>
      </c>
      <c r="I10" s="19">
        <v>0</v>
      </c>
      <c r="J10" s="19"/>
      <c r="K10" s="19">
        <v>2</v>
      </c>
      <c r="L10" s="19"/>
      <c r="M10" s="20">
        <f>SUM(I10:L10)</f>
        <v>2</v>
      </c>
      <c r="N10" s="37"/>
      <c r="O10" s="36"/>
      <c r="P10" s="16"/>
    </row>
    <row r="11" spans="1:16" ht="14.25" customHeight="1" x14ac:dyDescent="0.3">
      <c r="A11" s="13"/>
      <c r="B11" s="14"/>
      <c r="C11" s="15"/>
      <c r="D11" s="18"/>
      <c r="E11" s="47" t="s">
        <v>37</v>
      </c>
      <c r="F11" s="26">
        <v>4</v>
      </c>
      <c r="G11" s="26">
        <f>5%*D11</f>
        <v>0</v>
      </c>
      <c r="H11" s="26">
        <f>SUM(F11:G11)</f>
        <v>4</v>
      </c>
      <c r="I11" s="19">
        <v>0</v>
      </c>
      <c r="J11" s="19">
        <v>0</v>
      </c>
      <c r="K11" s="19">
        <v>4</v>
      </c>
      <c r="L11" s="19">
        <v>0</v>
      </c>
      <c r="M11" s="20">
        <f t="shared" ref="M11:M17" si="0">SUM(I11:L11)</f>
        <v>4</v>
      </c>
      <c r="N11" s="37" t="s">
        <v>51</v>
      </c>
      <c r="O11" s="38" t="s">
        <v>50</v>
      </c>
      <c r="P11" s="16"/>
    </row>
    <row r="12" spans="1:16" ht="14.25" customHeight="1" x14ac:dyDescent="0.3">
      <c r="A12" s="13"/>
      <c r="B12" s="14"/>
      <c r="C12" s="15"/>
      <c r="D12" s="18"/>
      <c r="E12" s="47" t="s">
        <v>38</v>
      </c>
      <c r="F12" s="26">
        <v>5</v>
      </c>
      <c r="G12" s="26">
        <f>5%*D12</f>
        <v>0</v>
      </c>
      <c r="H12" s="26">
        <f>SUM(F12:G12)</f>
        <v>5</v>
      </c>
      <c r="I12" s="19">
        <v>0</v>
      </c>
      <c r="J12" s="19"/>
      <c r="K12" s="19">
        <v>4</v>
      </c>
      <c r="L12" s="19">
        <v>0</v>
      </c>
      <c r="M12" s="20">
        <f t="shared" si="0"/>
        <v>4</v>
      </c>
      <c r="N12" s="37" t="s">
        <v>51</v>
      </c>
      <c r="O12" s="36" t="s">
        <v>49</v>
      </c>
      <c r="P12" s="16"/>
    </row>
    <row r="13" spans="1:16" ht="14.25" customHeight="1" x14ac:dyDescent="0.3">
      <c r="A13" s="13"/>
      <c r="B13" s="14"/>
      <c r="C13" s="15"/>
      <c r="D13" s="18"/>
      <c r="E13" s="48" t="s">
        <v>39</v>
      </c>
      <c r="F13" s="26">
        <v>15</v>
      </c>
      <c r="G13" s="26">
        <f>5%*D13</f>
        <v>0</v>
      </c>
      <c r="H13" s="26">
        <f>SUM(F13:G13)</f>
        <v>15</v>
      </c>
      <c r="I13" s="22">
        <v>0</v>
      </c>
      <c r="J13" s="22">
        <v>0</v>
      </c>
      <c r="K13" s="22">
        <v>0</v>
      </c>
      <c r="L13" s="22">
        <v>0</v>
      </c>
      <c r="M13" s="23">
        <f t="shared" si="0"/>
        <v>0</v>
      </c>
      <c r="N13" s="39" t="s">
        <v>51</v>
      </c>
      <c r="O13" s="40" t="s">
        <v>48</v>
      </c>
      <c r="P13" s="16"/>
    </row>
    <row r="14" spans="1:16" ht="14.25" customHeight="1" x14ac:dyDescent="0.3">
      <c r="A14" s="13"/>
      <c r="B14" s="17" t="s">
        <v>58</v>
      </c>
      <c r="C14" s="15" t="s">
        <v>22</v>
      </c>
      <c r="D14" s="18">
        <v>728.56</v>
      </c>
      <c r="E14" s="47" t="s">
        <v>36</v>
      </c>
      <c r="F14" s="26">
        <f>9%*D14</f>
        <v>65.570399999999992</v>
      </c>
      <c r="G14" s="26">
        <f>5%*D14</f>
        <v>36.427999999999997</v>
      </c>
      <c r="H14" s="26">
        <f>SUM(F14:G14)</f>
        <v>101.99839999999999</v>
      </c>
      <c r="I14" s="19">
        <v>0</v>
      </c>
      <c r="J14" s="19"/>
      <c r="K14" s="19">
        <v>4</v>
      </c>
      <c r="L14" s="19">
        <v>0</v>
      </c>
      <c r="M14" s="20">
        <f t="shared" si="0"/>
        <v>4</v>
      </c>
      <c r="N14" s="35"/>
      <c r="O14" s="41"/>
      <c r="P14" s="16"/>
    </row>
    <row r="15" spans="1:16" ht="14.25" customHeight="1" x14ac:dyDescent="0.3">
      <c r="A15" s="13"/>
      <c r="B15" s="14"/>
      <c r="C15" s="15"/>
      <c r="D15" s="26"/>
      <c r="E15" s="47" t="s">
        <v>37</v>
      </c>
      <c r="F15" s="26">
        <v>8</v>
      </c>
      <c r="G15" s="26">
        <v>300</v>
      </c>
      <c r="H15" s="26">
        <f t="shared" ref="H15:H17" si="1">SUM(F15:G15)</f>
        <v>308</v>
      </c>
      <c r="I15" s="19">
        <v>0</v>
      </c>
      <c r="J15" s="19">
        <v>0</v>
      </c>
      <c r="K15" s="19">
        <v>3</v>
      </c>
      <c r="L15" s="19">
        <v>0</v>
      </c>
      <c r="M15" s="20">
        <f t="shared" si="0"/>
        <v>3</v>
      </c>
      <c r="N15" s="35"/>
      <c r="O15" s="36"/>
      <c r="P15" s="16"/>
    </row>
    <row r="16" spans="1:16" ht="14.25" customHeight="1" x14ac:dyDescent="0.3">
      <c r="A16" s="13"/>
      <c r="B16" s="14"/>
      <c r="C16" s="15"/>
      <c r="D16" s="26"/>
      <c r="E16" s="47" t="s">
        <v>38</v>
      </c>
      <c r="F16" s="26">
        <v>100</v>
      </c>
      <c r="G16" s="26">
        <v>375</v>
      </c>
      <c r="H16" s="26">
        <f t="shared" si="1"/>
        <v>475</v>
      </c>
      <c r="I16" s="19">
        <v>0</v>
      </c>
      <c r="J16" s="19">
        <v>0</v>
      </c>
      <c r="K16" s="19">
        <v>0</v>
      </c>
      <c r="L16" s="19">
        <v>0</v>
      </c>
      <c r="M16" s="20">
        <f t="shared" si="0"/>
        <v>0</v>
      </c>
      <c r="N16" s="35"/>
      <c r="O16" s="36"/>
      <c r="P16" s="16"/>
    </row>
    <row r="17" spans="1:16" ht="14.25" customHeight="1" x14ac:dyDescent="0.3">
      <c r="A17" s="54"/>
      <c r="B17" s="55"/>
      <c r="C17" s="56"/>
      <c r="D17" s="57"/>
      <c r="E17" s="58" t="s">
        <v>39</v>
      </c>
      <c r="F17" s="119">
        <v>45</v>
      </c>
      <c r="G17" s="119">
        <v>0</v>
      </c>
      <c r="H17" s="119">
        <f t="shared" si="1"/>
        <v>45</v>
      </c>
      <c r="I17" s="59">
        <v>0</v>
      </c>
      <c r="J17" s="59">
        <v>0</v>
      </c>
      <c r="K17" s="59">
        <v>0</v>
      </c>
      <c r="L17" s="59">
        <v>0</v>
      </c>
      <c r="M17" s="60">
        <f t="shared" si="0"/>
        <v>0</v>
      </c>
      <c r="N17" s="61"/>
      <c r="O17" s="62"/>
      <c r="P17" s="88"/>
    </row>
    <row r="18" spans="1:16" ht="14.25" customHeight="1" x14ac:dyDescent="0.3">
      <c r="A18" s="89"/>
      <c r="B18" s="71"/>
      <c r="C18" s="72"/>
      <c r="D18" s="73">
        <f>SUM(D9:D17)</f>
        <v>1132.1199999999999</v>
      </c>
      <c r="E18" s="74"/>
      <c r="F18" s="118">
        <f>SUM(F9:F17)</f>
        <v>258.71280000000002</v>
      </c>
      <c r="G18" s="118">
        <f>SUM(G9:G17)</f>
        <v>727.57040000000006</v>
      </c>
      <c r="H18" s="118">
        <f>SUM(H9:H17)</f>
        <v>986.28319999999997</v>
      </c>
      <c r="I18" s="75">
        <f>SUM(I9:I17)</f>
        <v>0</v>
      </c>
      <c r="J18" s="75">
        <f>SUM(J9:J17)</f>
        <v>0</v>
      </c>
      <c r="K18" s="75">
        <f>SUM(K8:K17)</f>
        <v>17</v>
      </c>
      <c r="L18" s="75"/>
      <c r="M18" s="75">
        <f>SUM(M9:M17)</f>
        <v>17</v>
      </c>
      <c r="N18" s="76"/>
      <c r="O18" s="77"/>
      <c r="P18" s="75"/>
    </row>
    <row r="19" spans="1:16" ht="14.25" customHeight="1" x14ac:dyDescent="0.3">
      <c r="A19" s="63">
        <v>2</v>
      </c>
      <c r="B19" s="64" t="s">
        <v>23</v>
      </c>
      <c r="C19" s="65"/>
      <c r="D19" s="66"/>
      <c r="E19" s="67"/>
      <c r="F19" s="68"/>
      <c r="G19" s="68"/>
      <c r="H19" s="68"/>
      <c r="I19" s="68"/>
      <c r="J19" s="68"/>
      <c r="K19" s="68"/>
      <c r="L19" s="68"/>
      <c r="M19" s="68"/>
      <c r="N19" s="69"/>
      <c r="O19" s="70"/>
      <c r="P19" s="68"/>
    </row>
    <row r="20" spans="1:16" ht="14.25" customHeight="1" x14ac:dyDescent="0.3">
      <c r="A20" s="13"/>
      <c r="B20" s="14" t="s">
        <v>57</v>
      </c>
      <c r="C20" s="15" t="s">
        <v>22</v>
      </c>
      <c r="D20" s="26">
        <v>198</v>
      </c>
      <c r="E20" s="47" t="s">
        <v>40</v>
      </c>
      <c r="F20" s="19">
        <v>0</v>
      </c>
      <c r="G20" s="19">
        <f>10%*D20</f>
        <v>19.8</v>
      </c>
      <c r="H20" s="19">
        <f t="shared" ref="H20" si="2">SUM(F20:G20)</f>
        <v>19.8</v>
      </c>
      <c r="I20" s="19">
        <v>0</v>
      </c>
      <c r="J20" s="19">
        <v>15</v>
      </c>
      <c r="K20" s="19">
        <v>4</v>
      </c>
      <c r="L20" s="19">
        <v>0</v>
      </c>
      <c r="M20" s="20">
        <f t="shared" ref="M20" si="3">SUM(I20:L20)</f>
        <v>19</v>
      </c>
      <c r="N20" s="37" t="s">
        <v>51</v>
      </c>
      <c r="O20" s="399" t="s">
        <v>212</v>
      </c>
      <c r="P20" s="16"/>
    </row>
    <row r="21" spans="1:16" ht="14.25" customHeight="1" x14ac:dyDescent="0.3">
      <c r="A21" s="54"/>
      <c r="B21" s="55"/>
      <c r="C21" s="56"/>
      <c r="D21" s="57"/>
      <c r="E21" s="85"/>
      <c r="F21" s="79"/>
      <c r="G21" s="79"/>
      <c r="H21" s="79"/>
      <c r="I21" s="79"/>
      <c r="J21" s="79"/>
      <c r="K21" s="79"/>
      <c r="L21" s="79"/>
      <c r="M21" s="86"/>
      <c r="N21" s="95"/>
      <c r="O21" s="401"/>
      <c r="P21" s="87"/>
    </row>
    <row r="22" spans="1:16" ht="14.25" customHeight="1" x14ac:dyDescent="0.3">
      <c r="A22" s="54"/>
      <c r="B22" s="55" t="s">
        <v>58</v>
      </c>
      <c r="C22" s="56" t="s">
        <v>42</v>
      </c>
      <c r="D22" s="57">
        <v>55</v>
      </c>
      <c r="E22" s="47" t="s">
        <v>40</v>
      </c>
      <c r="F22" s="19">
        <v>0</v>
      </c>
      <c r="G22" s="19">
        <v>5</v>
      </c>
      <c r="H22" s="19">
        <f t="shared" ref="H22" si="4">SUM(F22:G22)</f>
        <v>5</v>
      </c>
      <c r="I22" s="19">
        <v>0</v>
      </c>
      <c r="J22" s="19">
        <v>1</v>
      </c>
      <c r="K22" s="19">
        <v>4</v>
      </c>
      <c r="L22" s="19">
        <v>0</v>
      </c>
      <c r="M22" s="20">
        <f t="shared" ref="M22" si="5">SUM(I22:L22)</f>
        <v>5</v>
      </c>
      <c r="N22" s="95"/>
      <c r="O22" s="401"/>
      <c r="P22" s="87"/>
    </row>
    <row r="23" spans="1:16" ht="14.25" customHeight="1" x14ac:dyDescent="0.3">
      <c r="A23" s="54"/>
      <c r="B23" s="55"/>
      <c r="C23" s="56"/>
      <c r="D23" s="57"/>
      <c r="E23" s="85"/>
      <c r="F23" s="79"/>
      <c r="G23" s="79"/>
      <c r="H23" s="79"/>
      <c r="I23" s="79"/>
      <c r="J23" s="79"/>
      <c r="K23" s="79"/>
      <c r="L23" s="79"/>
      <c r="M23" s="86"/>
      <c r="N23" s="95"/>
      <c r="O23" s="401"/>
      <c r="P23" s="87"/>
    </row>
    <row r="24" spans="1:16" ht="14.25" customHeight="1" x14ac:dyDescent="0.3">
      <c r="A24" s="89"/>
      <c r="B24" s="71"/>
      <c r="C24" s="72"/>
      <c r="D24" s="73">
        <f>SUM(D19:D23)</f>
        <v>253</v>
      </c>
      <c r="E24" s="74"/>
      <c r="F24" s="83">
        <f t="shared" ref="F24:K24" si="6">SUM(F19:F23)</f>
        <v>0</v>
      </c>
      <c r="G24" s="83">
        <f t="shared" si="6"/>
        <v>24.8</v>
      </c>
      <c r="H24" s="83">
        <f t="shared" si="6"/>
        <v>24.8</v>
      </c>
      <c r="I24" s="83">
        <f t="shared" si="6"/>
        <v>0</v>
      </c>
      <c r="J24" s="83">
        <f t="shared" si="6"/>
        <v>16</v>
      </c>
      <c r="K24" s="83">
        <f t="shared" si="6"/>
        <v>8</v>
      </c>
      <c r="L24" s="83"/>
      <c r="M24" s="83">
        <f>SUM(M19:M23)</f>
        <v>24</v>
      </c>
      <c r="N24" s="76"/>
      <c r="O24" s="77"/>
      <c r="P24" s="75"/>
    </row>
    <row r="25" spans="1:16" ht="14.25" customHeight="1" x14ac:dyDescent="0.3">
      <c r="A25" s="63">
        <v>3</v>
      </c>
      <c r="B25" s="64" t="s">
        <v>19</v>
      </c>
      <c r="C25" s="65"/>
      <c r="D25" s="66"/>
      <c r="E25" s="67"/>
      <c r="F25" s="82"/>
      <c r="G25" s="82"/>
      <c r="H25" s="82"/>
      <c r="I25" s="82"/>
      <c r="J25" s="82"/>
      <c r="K25" s="82"/>
      <c r="L25" s="82"/>
      <c r="M25" s="82"/>
      <c r="N25" s="69"/>
      <c r="O25" s="70"/>
      <c r="P25" s="68"/>
    </row>
    <row r="26" spans="1:16" ht="14.25" customHeight="1" x14ac:dyDescent="0.3">
      <c r="A26" s="13"/>
      <c r="B26" s="14" t="s">
        <v>57</v>
      </c>
      <c r="C26" s="15" t="s">
        <v>24</v>
      </c>
      <c r="D26" s="26">
        <f>1372.4+494</f>
        <v>1866.4</v>
      </c>
      <c r="E26" s="50" t="s">
        <v>52</v>
      </c>
      <c r="F26" s="19">
        <v>0</v>
      </c>
      <c r="G26" s="26">
        <f>45%*D26</f>
        <v>839.88000000000011</v>
      </c>
      <c r="H26" s="26">
        <f>SUM(F26:G26)</f>
        <v>839.88000000000011</v>
      </c>
      <c r="I26" s="19">
        <v>0</v>
      </c>
      <c r="J26" s="19">
        <v>8</v>
      </c>
      <c r="K26" s="19">
        <v>0</v>
      </c>
      <c r="L26" s="19">
        <v>0</v>
      </c>
      <c r="M26" s="19">
        <f>SUM(I26:L26)</f>
        <v>8</v>
      </c>
      <c r="N26" s="35"/>
      <c r="O26" s="43" t="s">
        <v>148</v>
      </c>
      <c r="P26" s="16"/>
    </row>
    <row r="27" spans="1:16" ht="14.25" customHeight="1" x14ac:dyDescent="0.3">
      <c r="A27" s="13"/>
      <c r="B27" s="14" t="s">
        <v>58</v>
      </c>
      <c r="C27" s="15" t="s">
        <v>25</v>
      </c>
      <c r="D27" s="26">
        <f>994.7+363.2</f>
        <v>1357.9</v>
      </c>
      <c r="E27" s="50" t="s">
        <v>52</v>
      </c>
      <c r="F27" s="19">
        <v>0</v>
      </c>
      <c r="G27" s="26">
        <f t="shared" ref="G27:G33" si="7">50%*D27</f>
        <v>678.95</v>
      </c>
      <c r="H27" s="26">
        <f t="shared" ref="H27:H51" si="8">SUM(F27:G27)</f>
        <v>678.95</v>
      </c>
      <c r="I27" s="19">
        <v>0</v>
      </c>
      <c r="J27" s="19">
        <v>2</v>
      </c>
      <c r="K27" s="19">
        <v>2</v>
      </c>
      <c r="L27" s="19">
        <v>0</v>
      </c>
      <c r="M27" s="19">
        <f t="shared" ref="M27:M51" si="9">SUM(I27:L27)</f>
        <v>4</v>
      </c>
      <c r="N27" s="35"/>
      <c r="O27" s="43" t="s">
        <v>149</v>
      </c>
      <c r="P27" s="16"/>
    </row>
    <row r="28" spans="1:16" ht="14.25" customHeight="1" x14ac:dyDescent="0.3">
      <c r="A28" s="13"/>
      <c r="B28" s="14" t="s">
        <v>59</v>
      </c>
      <c r="C28" s="15" t="s">
        <v>26</v>
      </c>
      <c r="D28" s="26">
        <f>976.5+338</f>
        <v>1314.5</v>
      </c>
      <c r="E28" s="50" t="s">
        <v>52</v>
      </c>
      <c r="F28" s="19">
        <v>0</v>
      </c>
      <c r="G28" s="26">
        <f t="shared" si="7"/>
        <v>657.25</v>
      </c>
      <c r="H28" s="26">
        <f t="shared" si="8"/>
        <v>657.25</v>
      </c>
      <c r="I28" s="19">
        <v>0</v>
      </c>
      <c r="J28" s="19">
        <v>3</v>
      </c>
      <c r="K28" s="19">
        <v>0</v>
      </c>
      <c r="L28" s="19">
        <v>0</v>
      </c>
      <c r="M28" s="19">
        <f t="shared" si="9"/>
        <v>3</v>
      </c>
      <c r="N28" s="35"/>
      <c r="O28" s="43" t="s">
        <v>150</v>
      </c>
      <c r="P28" s="16"/>
    </row>
    <row r="29" spans="1:16" ht="14.25" customHeight="1" x14ac:dyDescent="0.3">
      <c r="A29" s="13"/>
      <c r="B29" s="14" t="s">
        <v>60</v>
      </c>
      <c r="C29" s="15" t="s">
        <v>55</v>
      </c>
      <c r="D29" s="26">
        <f>291.6+46.93</f>
        <v>338.53000000000003</v>
      </c>
      <c r="E29" s="50" t="s">
        <v>52</v>
      </c>
      <c r="F29" s="19">
        <v>0</v>
      </c>
      <c r="G29" s="26">
        <f t="shared" si="7"/>
        <v>169.26500000000001</v>
      </c>
      <c r="H29" s="26">
        <f t="shared" si="8"/>
        <v>169.26500000000001</v>
      </c>
      <c r="I29" s="19">
        <v>0</v>
      </c>
      <c r="J29" s="19">
        <v>0</v>
      </c>
      <c r="K29" s="19">
        <v>0</v>
      </c>
      <c r="L29" s="19">
        <v>0</v>
      </c>
      <c r="M29" s="19">
        <f t="shared" si="9"/>
        <v>0</v>
      </c>
      <c r="N29" s="35"/>
      <c r="O29" s="43" t="s">
        <v>151</v>
      </c>
      <c r="P29" s="16"/>
    </row>
    <row r="30" spans="1:16" ht="14.25" customHeight="1" x14ac:dyDescent="0.3">
      <c r="A30" s="13"/>
      <c r="B30" s="14" t="s">
        <v>61</v>
      </c>
      <c r="C30" s="15" t="s">
        <v>27</v>
      </c>
      <c r="D30" s="26">
        <f>831.5+161.25</f>
        <v>992.75</v>
      </c>
      <c r="E30" s="50" t="s">
        <v>52</v>
      </c>
      <c r="F30" s="19">
        <v>0</v>
      </c>
      <c r="G30" s="26">
        <f t="shared" si="7"/>
        <v>496.375</v>
      </c>
      <c r="H30" s="26">
        <f t="shared" si="8"/>
        <v>496.375</v>
      </c>
      <c r="I30" s="19">
        <v>0</v>
      </c>
      <c r="J30" s="19">
        <v>0</v>
      </c>
      <c r="K30" s="19">
        <v>0</v>
      </c>
      <c r="L30" s="19">
        <v>0</v>
      </c>
      <c r="M30" s="19">
        <f t="shared" si="9"/>
        <v>0</v>
      </c>
      <c r="N30" s="35"/>
      <c r="O30" s="44" t="s">
        <v>162</v>
      </c>
      <c r="P30" s="16"/>
    </row>
    <row r="31" spans="1:16" ht="14.25" customHeight="1" x14ac:dyDescent="0.3">
      <c r="A31" s="13"/>
      <c r="B31" s="14" t="s">
        <v>62</v>
      </c>
      <c r="C31" s="15" t="s">
        <v>28</v>
      </c>
      <c r="D31" s="26">
        <f>868+618.6</f>
        <v>1486.6</v>
      </c>
      <c r="E31" s="50" t="s">
        <v>52</v>
      </c>
      <c r="F31" s="19">
        <v>0</v>
      </c>
      <c r="G31" s="26">
        <f t="shared" si="7"/>
        <v>743.3</v>
      </c>
      <c r="H31" s="26">
        <f t="shared" si="8"/>
        <v>743.3</v>
      </c>
      <c r="I31" s="19">
        <v>0</v>
      </c>
      <c r="J31" s="19">
        <v>0</v>
      </c>
      <c r="K31" s="19">
        <v>0</v>
      </c>
      <c r="L31" s="19">
        <v>0</v>
      </c>
      <c r="M31" s="19">
        <f t="shared" si="9"/>
        <v>0</v>
      </c>
      <c r="N31" s="35"/>
      <c r="O31" s="43" t="s">
        <v>152</v>
      </c>
      <c r="P31" s="16"/>
    </row>
    <row r="32" spans="1:16" ht="14.25" customHeight="1" x14ac:dyDescent="0.3">
      <c r="A32" s="13"/>
      <c r="B32" s="14" t="s">
        <v>63</v>
      </c>
      <c r="C32" s="15" t="s">
        <v>29</v>
      </c>
      <c r="D32" s="26">
        <f>1546+278.5</f>
        <v>1824.5</v>
      </c>
      <c r="E32" s="50" t="s">
        <v>52</v>
      </c>
      <c r="F32" s="19">
        <v>0</v>
      </c>
      <c r="G32" s="26">
        <f t="shared" si="7"/>
        <v>912.25</v>
      </c>
      <c r="H32" s="26">
        <f t="shared" si="8"/>
        <v>912.25</v>
      </c>
      <c r="I32" s="19">
        <v>0</v>
      </c>
      <c r="J32" s="19">
        <v>0</v>
      </c>
      <c r="K32" s="19">
        <v>0</v>
      </c>
      <c r="L32" s="19">
        <v>0</v>
      </c>
      <c r="M32" s="19">
        <f t="shared" si="9"/>
        <v>0</v>
      </c>
      <c r="N32" s="35"/>
      <c r="O32" s="43" t="s">
        <v>153</v>
      </c>
      <c r="P32" s="16"/>
    </row>
    <row r="33" spans="1:16" ht="14.25" customHeight="1" x14ac:dyDescent="0.3">
      <c r="A33" s="13"/>
      <c r="B33" s="14" t="s">
        <v>64</v>
      </c>
      <c r="C33" s="15" t="s">
        <v>56</v>
      </c>
      <c r="D33" s="26">
        <f>156.4+34.9</f>
        <v>191.3</v>
      </c>
      <c r="E33" s="50" t="s">
        <v>52</v>
      </c>
      <c r="F33" s="19">
        <v>0</v>
      </c>
      <c r="G33" s="26">
        <f t="shared" si="7"/>
        <v>95.65</v>
      </c>
      <c r="H33" s="26">
        <f t="shared" si="8"/>
        <v>95.65</v>
      </c>
      <c r="I33" s="19">
        <v>0</v>
      </c>
      <c r="J33" s="19">
        <v>6</v>
      </c>
      <c r="K33" s="19">
        <v>0</v>
      </c>
      <c r="L33" s="19">
        <v>0</v>
      </c>
      <c r="M33" s="19">
        <f t="shared" si="9"/>
        <v>6</v>
      </c>
      <c r="N33" s="35"/>
      <c r="O33" s="43" t="s">
        <v>154</v>
      </c>
      <c r="P33" s="16"/>
    </row>
    <row r="34" spans="1:16" ht="14.25" customHeight="1" x14ac:dyDescent="0.3">
      <c r="A34" s="13"/>
      <c r="B34" s="14" t="s">
        <v>65</v>
      </c>
      <c r="C34" s="15" t="s">
        <v>30</v>
      </c>
      <c r="D34" s="26">
        <f>1499.7+565.1</f>
        <v>2064.8000000000002</v>
      </c>
      <c r="E34" s="50" t="s">
        <v>52</v>
      </c>
      <c r="F34" s="19">
        <v>0</v>
      </c>
      <c r="G34" s="26">
        <f>30%*D34</f>
        <v>619.44000000000005</v>
      </c>
      <c r="H34" s="26">
        <f t="shared" si="8"/>
        <v>619.44000000000005</v>
      </c>
      <c r="I34" s="19">
        <v>0</v>
      </c>
      <c r="J34" s="19">
        <v>0</v>
      </c>
      <c r="K34" s="19">
        <v>0</v>
      </c>
      <c r="L34" s="19">
        <v>0</v>
      </c>
      <c r="M34" s="19">
        <f t="shared" si="9"/>
        <v>0</v>
      </c>
      <c r="N34" s="35"/>
      <c r="O34" s="43" t="s">
        <v>155</v>
      </c>
      <c r="P34" s="16"/>
    </row>
    <row r="35" spans="1:16" ht="14.25" customHeight="1" x14ac:dyDescent="0.3">
      <c r="A35" s="13"/>
      <c r="B35" s="14" t="s">
        <v>66</v>
      </c>
      <c r="C35" s="15" t="s">
        <v>31</v>
      </c>
      <c r="D35" s="26">
        <f>1207+389</f>
        <v>1596</v>
      </c>
      <c r="E35" s="50" t="s">
        <v>52</v>
      </c>
      <c r="F35" s="19">
        <v>0</v>
      </c>
      <c r="G35" s="26">
        <f>50%*D35</f>
        <v>798</v>
      </c>
      <c r="H35" s="26">
        <f t="shared" si="8"/>
        <v>798</v>
      </c>
      <c r="I35" s="19">
        <v>0</v>
      </c>
      <c r="J35" s="19">
        <v>0</v>
      </c>
      <c r="K35" s="19">
        <v>0</v>
      </c>
      <c r="L35" s="19">
        <v>0</v>
      </c>
      <c r="M35" s="19">
        <f t="shared" si="9"/>
        <v>0</v>
      </c>
      <c r="N35" s="35"/>
      <c r="O35" s="43" t="s">
        <v>156</v>
      </c>
      <c r="P35" s="16"/>
    </row>
    <row r="36" spans="1:16" ht="14.25" customHeight="1" x14ac:dyDescent="0.3">
      <c r="A36" s="13"/>
      <c r="B36" s="14" t="s">
        <v>67</v>
      </c>
      <c r="C36" s="15" t="s">
        <v>32</v>
      </c>
      <c r="D36" s="26">
        <f>998.9+79.5</f>
        <v>1078.4000000000001</v>
      </c>
      <c r="E36" s="50" t="s">
        <v>52</v>
      </c>
      <c r="F36" s="19">
        <v>0</v>
      </c>
      <c r="G36" s="26">
        <f t="shared" ref="G36:G51" si="10">30%*D36</f>
        <v>323.52000000000004</v>
      </c>
      <c r="H36" s="26">
        <f t="shared" si="8"/>
        <v>323.52000000000004</v>
      </c>
      <c r="I36" s="19">
        <v>0</v>
      </c>
      <c r="J36" s="19">
        <v>0</v>
      </c>
      <c r="K36" s="19">
        <v>0</v>
      </c>
      <c r="L36" s="19">
        <v>0</v>
      </c>
      <c r="M36" s="19">
        <f t="shared" si="9"/>
        <v>0</v>
      </c>
      <c r="N36" s="35"/>
      <c r="O36" s="43" t="s">
        <v>157</v>
      </c>
      <c r="P36" s="16"/>
    </row>
    <row r="37" spans="1:16" ht="14.25" customHeight="1" x14ac:dyDescent="0.3">
      <c r="A37" s="13"/>
      <c r="B37" s="14" t="s">
        <v>68</v>
      </c>
      <c r="C37" s="15" t="s">
        <v>33</v>
      </c>
      <c r="D37" s="26">
        <f>1304+57.5</f>
        <v>1361.5</v>
      </c>
      <c r="E37" s="50" t="s">
        <v>52</v>
      </c>
      <c r="F37" s="19">
        <v>0</v>
      </c>
      <c r="G37" s="26">
        <f t="shared" si="10"/>
        <v>408.45</v>
      </c>
      <c r="H37" s="26">
        <f t="shared" si="8"/>
        <v>408.45</v>
      </c>
      <c r="I37" s="19">
        <v>0</v>
      </c>
      <c r="J37" s="19">
        <v>0</v>
      </c>
      <c r="K37" s="19">
        <v>0</v>
      </c>
      <c r="L37" s="19">
        <v>0</v>
      </c>
      <c r="M37" s="19">
        <f t="shared" si="9"/>
        <v>0</v>
      </c>
      <c r="N37" s="35"/>
      <c r="O37" s="43" t="s">
        <v>158</v>
      </c>
      <c r="P37" s="16"/>
    </row>
    <row r="38" spans="1:16" ht="14.25" customHeight="1" x14ac:dyDescent="0.3">
      <c r="A38" s="13"/>
      <c r="B38" s="14" t="s">
        <v>69</v>
      </c>
      <c r="C38" s="15" t="s">
        <v>34</v>
      </c>
      <c r="D38" s="26">
        <f>1784.1+362</f>
        <v>2146.1</v>
      </c>
      <c r="E38" s="50" t="s">
        <v>52</v>
      </c>
      <c r="F38" s="19">
        <v>0</v>
      </c>
      <c r="G38" s="26">
        <f t="shared" si="10"/>
        <v>643.82999999999993</v>
      </c>
      <c r="H38" s="26">
        <f t="shared" si="8"/>
        <v>643.82999999999993</v>
      </c>
      <c r="I38" s="19">
        <v>0</v>
      </c>
      <c r="J38" s="19">
        <v>4</v>
      </c>
      <c r="K38" s="19">
        <v>11</v>
      </c>
      <c r="L38" s="19">
        <v>0</v>
      </c>
      <c r="M38" s="19">
        <f t="shared" si="9"/>
        <v>15</v>
      </c>
      <c r="N38" s="35"/>
      <c r="O38" s="43" t="s">
        <v>159</v>
      </c>
      <c r="P38" s="16"/>
    </row>
    <row r="39" spans="1:16" ht="14.25" customHeight="1" x14ac:dyDescent="0.3">
      <c r="A39" s="13"/>
      <c r="B39" s="14" t="s">
        <v>70</v>
      </c>
      <c r="C39" s="15" t="s">
        <v>35</v>
      </c>
      <c r="D39" s="26">
        <f>1557+181.5</f>
        <v>1738.5</v>
      </c>
      <c r="E39" s="50" t="s">
        <v>52</v>
      </c>
      <c r="F39" s="19">
        <v>0</v>
      </c>
      <c r="G39" s="26">
        <f t="shared" si="10"/>
        <v>521.54999999999995</v>
      </c>
      <c r="H39" s="26">
        <f t="shared" si="8"/>
        <v>521.54999999999995</v>
      </c>
      <c r="I39" s="19">
        <v>0</v>
      </c>
      <c r="J39" s="19">
        <v>0</v>
      </c>
      <c r="K39" s="19">
        <v>0</v>
      </c>
      <c r="L39" s="19">
        <v>0</v>
      </c>
      <c r="M39" s="19">
        <f t="shared" si="9"/>
        <v>0</v>
      </c>
      <c r="N39" s="35"/>
      <c r="O39" s="43" t="s">
        <v>160</v>
      </c>
      <c r="P39" s="16"/>
    </row>
    <row r="40" spans="1:16" ht="14.25" customHeight="1" x14ac:dyDescent="0.3">
      <c r="A40" s="13"/>
      <c r="B40" s="14" t="s">
        <v>71</v>
      </c>
      <c r="C40" s="15" t="s">
        <v>21</v>
      </c>
      <c r="D40" s="26">
        <f>1940+114</f>
        <v>2054</v>
      </c>
      <c r="E40" s="50" t="s">
        <v>52</v>
      </c>
      <c r="F40" s="19">
        <v>0</v>
      </c>
      <c r="G40" s="26">
        <f t="shared" si="10"/>
        <v>616.19999999999993</v>
      </c>
      <c r="H40" s="26">
        <f t="shared" si="8"/>
        <v>616.19999999999993</v>
      </c>
      <c r="I40" s="19">
        <v>0</v>
      </c>
      <c r="J40" s="19">
        <v>0</v>
      </c>
      <c r="K40" s="19">
        <v>0</v>
      </c>
      <c r="L40" s="19">
        <v>0</v>
      </c>
      <c r="M40" s="19">
        <f t="shared" si="9"/>
        <v>0</v>
      </c>
      <c r="N40" s="35"/>
      <c r="O40" s="43" t="s">
        <v>161</v>
      </c>
      <c r="P40" s="16"/>
    </row>
    <row r="41" spans="1:16" ht="14.25" customHeight="1" x14ac:dyDescent="0.3">
      <c r="A41" s="13"/>
      <c r="B41" s="14" t="s">
        <v>72</v>
      </c>
      <c r="C41" s="15" t="s">
        <v>42</v>
      </c>
      <c r="D41" s="26">
        <f>773.1+303.8</f>
        <v>1076.9000000000001</v>
      </c>
      <c r="E41" s="50" t="s">
        <v>52</v>
      </c>
      <c r="F41" s="19">
        <v>0</v>
      </c>
      <c r="G41" s="26">
        <f t="shared" si="10"/>
        <v>323.07</v>
      </c>
      <c r="H41" s="26">
        <f t="shared" si="8"/>
        <v>323.07</v>
      </c>
      <c r="I41" s="19">
        <v>0</v>
      </c>
      <c r="J41" s="19">
        <v>0</v>
      </c>
      <c r="K41" s="19">
        <v>0</v>
      </c>
      <c r="L41" s="19">
        <v>0</v>
      </c>
      <c r="M41" s="19">
        <f t="shared" si="9"/>
        <v>0</v>
      </c>
      <c r="N41" s="35"/>
      <c r="O41" s="36"/>
      <c r="P41" s="16"/>
    </row>
    <row r="42" spans="1:16" ht="14.25" customHeight="1" x14ac:dyDescent="0.3">
      <c r="A42" s="13"/>
      <c r="B42" s="14" t="s">
        <v>73</v>
      </c>
      <c r="C42" s="15" t="s">
        <v>105</v>
      </c>
      <c r="D42" s="26">
        <f>153.8+8.7</f>
        <v>162.5</v>
      </c>
      <c r="E42" s="50" t="s">
        <v>52</v>
      </c>
      <c r="F42" s="19">
        <v>0</v>
      </c>
      <c r="G42" s="26">
        <f t="shared" si="10"/>
        <v>48.75</v>
      </c>
      <c r="H42" s="26">
        <f t="shared" si="8"/>
        <v>48.75</v>
      </c>
      <c r="I42" s="19">
        <v>0</v>
      </c>
      <c r="J42" s="19">
        <v>0</v>
      </c>
      <c r="K42" s="19">
        <v>0</v>
      </c>
      <c r="L42" s="19">
        <v>0</v>
      </c>
      <c r="M42" s="19">
        <f t="shared" si="9"/>
        <v>0</v>
      </c>
      <c r="N42" s="35"/>
      <c r="O42" s="36"/>
      <c r="P42" s="16"/>
    </row>
    <row r="43" spans="1:16" ht="14.25" customHeight="1" x14ac:dyDescent="0.3">
      <c r="A43" s="13"/>
      <c r="B43" s="14" t="s">
        <v>74</v>
      </c>
      <c r="C43" s="15" t="s">
        <v>110</v>
      </c>
      <c r="D43" s="26">
        <f>695+48.2</f>
        <v>743.2</v>
      </c>
      <c r="E43" s="50" t="s">
        <v>52</v>
      </c>
      <c r="F43" s="19">
        <v>0</v>
      </c>
      <c r="G43" s="26">
        <f t="shared" si="10"/>
        <v>222.96</v>
      </c>
      <c r="H43" s="26">
        <f t="shared" si="8"/>
        <v>222.96</v>
      </c>
      <c r="I43" s="19">
        <v>0</v>
      </c>
      <c r="J43" s="19">
        <v>0</v>
      </c>
      <c r="K43" s="19">
        <v>0</v>
      </c>
      <c r="L43" s="19">
        <v>0</v>
      </c>
      <c r="M43" s="19">
        <f t="shared" si="9"/>
        <v>0</v>
      </c>
      <c r="N43" s="35"/>
      <c r="O43" s="36"/>
      <c r="P43" s="16"/>
    </row>
    <row r="44" spans="1:16" ht="14.25" customHeight="1" x14ac:dyDescent="0.3">
      <c r="A44" s="13"/>
      <c r="B44" s="14" t="s">
        <v>75</v>
      </c>
      <c r="C44" s="15" t="s">
        <v>112</v>
      </c>
      <c r="D44" s="26">
        <f>375+14</f>
        <v>389</v>
      </c>
      <c r="E44" s="50" t="s">
        <v>52</v>
      </c>
      <c r="F44" s="19">
        <v>0</v>
      </c>
      <c r="G44" s="26">
        <f t="shared" si="10"/>
        <v>116.69999999999999</v>
      </c>
      <c r="H44" s="26">
        <f t="shared" si="8"/>
        <v>116.69999999999999</v>
      </c>
      <c r="I44" s="19">
        <v>0</v>
      </c>
      <c r="J44" s="19">
        <v>0</v>
      </c>
      <c r="K44" s="19">
        <v>0</v>
      </c>
      <c r="L44" s="19">
        <v>0</v>
      </c>
      <c r="M44" s="19">
        <f t="shared" si="9"/>
        <v>0</v>
      </c>
      <c r="N44" s="35"/>
      <c r="O44" s="36"/>
      <c r="P44" s="16"/>
    </row>
    <row r="45" spans="1:16" ht="14.25" customHeight="1" x14ac:dyDescent="0.3">
      <c r="A45" s="13"/>
      <c r="B45" s="14" t="s">
        <v>104</v>
      </c>
      <c r="C45" s="15" t="s">
        <v>114</v>
      </c>
      <c r="D45" s="26">
        <f>73.5</f>
        <v>73.5</v>
      </c>
      <c r="E45" s="50" t="s">
        <v>52</v>
      </c>
      <c r="F45" s="19">
        <v>0</v>
      </c>
      <c r="G45" s="26">
        <f t="shared" si="10"/>
        <v>22.05</v>
      </c>
      <c r="H45" s="26">
        <f t="shared" si="8"/>
        <v>22.05</v>
      </c>
      <c r="I45" s="19">
        <v>0</v>
      </c>
      <c r="J45" s="19">
        <v>0</v>
      </c>
      <c r="K45" s="19">
        <v>0</v>
      </c>
      <c r="L45" s="19">
        <v>0</v>
      </c>
      <c r="M45" s="19">
        <f t="shared" si="9"/>
        <v>0</v>
      </c>
      <c r="N45" s="35"/>
      <c r="O45" s="36"/>
      <c r="P45" s="16"/>
    </row>
    <row r="46" spans="1:16" ht="14.25" customHeight="1" x14ac:dyDescent="0.3">
      <c r="A46" s="13"/>
      <c r="B46" s="14" t="s">
        <v>106</v>
      </c>
      <c r="C46" s="15" t="s">
        <v>22</v>
      </c>
      <c r="D46" s="26">
        <f>1130+101</f>
        <v>1231</v>
      </c>
      <c r="E46" s="50" t="s">
        <v>52</v>
      </c>
      <c r="F46" s="19">
        <v>0</v>
      </c>
      <c r="G46" s="26">
        <f t="shared" si="10"/>
        <v>369.3</v>
      </c>
      <c r="H46" s="26">
        <f t="shared" si="8"/>
        <v>369.3</v>
      </c>
      <c r="I46" s="19">
        <v>0</v>
      </c>
      <c r="J46" s="19">
        <v>0</v>
      </c>
      <c r="K46" s="19">
        <v>0</v>
      </c>
      <c r="L46" s="19">
        <v>0</v>
      </c>
      <c r="M46" s="19">
        <f t="shared" si="9"/>
        <v>0</v>
      </c>
      <c r="N46" s="35"/>
      <c r="O46" s="36"/>
      <c r="P46" s="16"/>
    </row>
    <row r="47" spans="1:16" ht="14.25" customHeight="1" x14ac:dyDescent="0.3">
      <c r="A47" s="13"/>
      <c r="B47" s="14" t="s">
        <v>108</v>
      </c>
      <c r="C47" s="15" t="s">
        <v>180</v>
      </c>
      <c r="D47" s="26">
        <f>134.8+5</f>
        <v>139.80000000000001</v>
      </c>
      <c r="E47" s="47" t="s">
        <v>52</v>
      </c>
      <c r="F47" s="19">
        <v>0</v>
      </c>
      <c r="G47" s="26">
        <f t="shared" si="10"/>
        <v>41.940000000000005</v>
      </c>
      <c r="H47" s="26">
        <f t="shared" si="8"/>
        <v>41.940000000000005</v>
      </c>
      <c r="I47" s="19">
        <v>0</v>
      </c>
      <c r="J47" s="19">
        <v>0</v>
      </c>
      <c r="K47" s="19">
        <v>0</v>
      </c>
      <c r="L47" s="19">
        <v>0</v>
      </c>
      <c r="M47" s="19">
        <f t="shared" si="9"/>
        <v>0</v>
      </c>
      <c r="N47" s="35"/>
      <c r="O47" s="36"/>
      <c r="P47" s="16"/>
    </row>
    <row r="48" spans="1:16" ht="14.25" customHeight="1" x14ac:dyDescent="0.3">
      <c r="A48" s="13"/>
      <c r="B48" s="14" t="s">
        <v>109</v>
      </c>
      <c r="C48" s="15" t="s">
        <v>43</v>
      </c>
      <c r="D48" s="26">
        <f>1189+216.6</f>
        <v>1405.6</v>
      </c>
      <c r="E48" s="50" t="s">
        <v>52</v>
      </c>
      <c r="F48" s="19">
        <v>0</v>
      </c>
      <c r="G48" s="26">
        <f t="shared" si="10"/>
        <v>421.67999999999995</v>
      </c>
      <c r="H48" s="26">
        <f t="shared" si="8"/>
        <v>421.67999999999995</v>
      </c>
      <c r="I48" s="19">
        <v>0</v>
      </c>
      <c r="J48" s="19">
        <v>0</v>
      </c>
      <c r="K48" s="19">
        <v>0</v>
      </c>
      <c r="L48" s="19">
        <v>0</v>
      </c>
      <c r="M48" s="19">
        <f t="shared" si="9"/>
        <v>0</v>
      </c>
      <c r="N48" s="35"/>
      <c r="O48" s="36"/>
      <c r="P48" s="16"/>
    </row>
    <row r="49" spans="1:16" ht="14.25" customHeight="1" x14ac:dyDescent="0.3">
      <c r="A49" s="13"/>
      <c r="B49" s="55" t="s">
        <v>111</v>
      </c>
      <c r="C49" s="56" t="s">
        <v>44</v>
      </c>
      <c r="D49" s="57">
        <f>1396.6+127</f>
        <v>1523.6</v>
      </c>
      <c r="E49" s="78" t="s">
        <v>52</v>
      </c>
      <c r="F49" s="19">
        <v>0</v>
      </c>
      <c r="G49" s="26">
        <f t="shared" si="10"/>
        <v>457.08</v>
      </c>
      <c r="H49" s="26">
        <f t="shared" si="8"/>
        <v>457.08</v>
      </c>
      <c r="I49" s="19">
        <v>0</v>
      </c>
      <c r="J49" s="19">
        <v>0</v>
      </c>
      <c r="K49" s="19">
        <v>0</v>
      </c>
      <c r="L49" s="19">
        <v>0</v>
      </c>
      <c r="M49" s="19">
        <f t="shared" si="9"/>
        <v>0</v>
      </c>
      <c r="N49" s="35"/>
      <c r="O49" s="36"/>
      <c r="P49" s="16"/>
    </row>
    <row r="50" spans="1:16" ht="14.25" customHeight="1" x14ac:dyDescent="0.3">
      <c r="A50" s="13"/>
      <c r="B50" s="14" t="s">
        <v>74</v>
      </c>
      <c r="C50" s="15" t="s">
        <v>43</v>
      </c>
      <c r="D50" s="26">
        <v>1189</v>
      </c>
      <c r="E50" s="50" t="s">
        <v>52</v>
      </c>
      <c r="F50" s="19">
        <v>0</v>
      </c>
      <c r="G50" s="26">
        <f t="shared" si="10"/>
        <v>356.7</v>
      </c>
      <c r="H50" s="26">
        <f t="shared" si="8"/>
        <v>356.7</v>
      </c>
      <c r="I50" s="19">
        <v>0</v>
      </c>
      <c r="J50" s="19">
        <v>0</v>
      </c>
      <c r="K50" s="19">
        <v>0</v>
      </c>
      <c r="L50" s="19">
        <v>0</v>
      </c>
      <c r="M50" s="19">
        <f t="shared" si="9"/>
        <v>0</v>
      </c>
      <c r="N50" s="35"/>
      <c r="O50" s="36"/>
      <c r="P50" s="16"/>
    </row>
    <row r="51" spans="1:16" ht="14.25" customHeight="1" x14ac:dyDescent="0.3">
      <c r="A51" s="54"/>
      <c r="B51" s="55" t="s">
        <v>75</v>
      </c>
      <c r="C51" s="56" t="s">
        <v>44</v>
      </c>
      <c r="D51" s="57">
        <v>1391</v>
      </c>
      <c r="E51" s="78" t="s">
        <v>52</v>
      </c>
      <c r="F51" s="19">
        <v>0</v>
      </c>
      <c r="G51" s="26">
        <f t="shared" si="10"/>
        <v>417.3</v>
      </c>
      <c r="H51" s="26">
        <f t="shared" si="8"/>
        <v>417.3</v>
      </c>
      <c r="I51" s="19">
        <v>0</v>
      </c>
      <c r="J51" s="19">
        <v>3</v>
      </c>
      <c r="K51" s="19">
        <v>1</v>
      </c>
      <c r="L51" s="19">
        <v>0</v>
      </c>
      <c r="M51" s="19">
        <f t="shared" si="9"/>
        <v>4</v>
      </c>
      <c r="N51" s="80"/>
      <c r="O51" s="81"/>
      <c r="P51" s="87"/>
    </row>
    <row r="52" spans="1:16" ht="14.25" customHeight="1" x14ac:dyDescent="0.3">
      <c r="A52" s="89"/>
      <c r="B52" s="71"/>
      <c r="C52" s="72"/>
      <c r="D52" s="84">
        <f>SUM(D26:D51)</f>
        <v>30736.879999999997</v>
      </c>
      <c r="E52" s="74"/>
      <c r="F52" s="83">
        <f t="shared" ref="F52:M52" si="11">SUM(F26:F51)</f>
        <v>0</v>
      </c>
      <c r="G52" s="83">
        <f t="shared" si="11"/>
        <v>11321.439999999999</v>
      </c>
      <c r="H52" s="83">
        <f t="shared" si="11"/>
        <v>11321.439999999999</v>
      </c>
      <c r="I52" s="83">
        <f t="shared" si="11"/>
        <v>0</v>
      </c>
      <c r="J52" s="83">
        <f t="shared" si="11"/>
        <v>26</v>
      </c>
      <c r="K52" s="83">
        <f t="shared" si="11"/>
        <v>14</v>
      </c>
      <c r="L52" s="83">
        <f t="shared" si="11"/>
        <v>0</v>
      </c>
      <c r="M52" s="83">
        <f t="shared" si="11"/>
        <v>40</v>
      </c>
      <c r="N52" s="76"/>
      <c r="O52" s="77"/>
      <c r="P52" s="75"/>
    </row>
    <row r="53" spans="1:16" ht="14.25" customHeight="1" x14ac:dyDescent="0.3">
      <c r="A53" s="63">
        <v>4</v>
      </c>
      <c r="B53" s="64" t="s">
        <v>46</v>
      </c>
      <c r="C53" s="65"/>
      <c r="D53" s="66"/>
      <c r="E53" s="67"/>
      <c r="F53" s="82"/>
      <c r="G53" s="82"/>
      <c r="H53" s="82"/>
      <c r="I53" s="82"/>
      <c r="J53" s="82"/>
      <c r="K53" s="82"/>
      <c r="L53" s="82"/>
      <c r="M53" s="82"/>
      <c r="N53" s="69"/>
      <c r="O53" s="70"/>
      <c r="P53" s="68"/>
    </row>
    <row r="54" spans="1:16" ht="28.5" customHeight="1" x14ac:dyDescent="0.3">
      <c r="A54" s="102"/>
      <c r="B54" s="98" t="s">
        <v>57</v>
      </c>
      <c r="C54" s="99" t="s">
        <v>29</v>
      </c>
      <c r="D54" s="96">
        <v>175</v>
      </c>
      <c r="E54" s="101" t="s">
        <v>184</v>
      </c>
      <c r="F54" s="96">
        <f>10%*D54</f>
        <v>17.5</v>
      </c>
      <c r="G54" s="97">
        <v>0</v>
      </c>
      <c r="H54" s="96">
        <f t="shared" ref="H54:H60" si="12">SUM(F54:G54)</f>
        <v>17.5</v>
      </c>
      <c r="I54" s="97">
        <v>0</v>
      </c>
      <c r="J54" s="97">
        <v>3</v>
      </c>
      <c r="K54" s="97">
        <v>0</v>
      </c>
      <c r="L54" s="97">
        <v>0</v>
      </c>
      <c r="M54" s="97">
        <f t="shared" ref="M54:M60" si="13">SUM(I54:L54)</f>
        <v>3</v>
      </c>
      <c r="N54" s="35"/>
      <c r="O54" s="36" t="s">
        <v>93</v>
      </c>
      <c r="P54" s="16"/>
    </row>
    <row r="55" spans="1:16" ht="14.25" customHeight="1" x14ac:dyDescent="0.3">
      <c r="A55" s="13"/>
      <c r="B55" s="14" t="s">
        <v>58</v>
      </c>
      <c r="C55" s="15" t="s">
        <v>33</v>
      </c>
      <c r="D55" s="26">
        <v>270</v>
      </c>
      <c r="E55" s="47" t="s">
        <v>185</v>
      </c>
      <c r="F55" s="26">
        <f>10%*D55</f>
        <v>27</v>
      </c>
      <c r="G55" s="19">
        <v>0</v>
      </c>
      <c r="H55" s="26">
        <f t="shared" si="12"/>
        <v>27</v>
      </c>
      <c r="I55" s="19">
        <v>0</v>
      </c>
      <c r="J55" s="19"/>
      <c r="K55" s="19">
        <v>0</v>
      </c>
      <c r="L55" s="19">
        <v>0</v>
      </c>
      <c r="M55" s="19">
        <f t="shared" si="13"/>
        <v>0</v>
      </c>
      <c r="N55" s="35"/>
      <c r="O55" s="36"/>
      <c r="P55" s="16"/>
    </row>
    <row r="56" spans="1:16" ht="24" customHeight="1" x14ac:dyDescent="0.3">
      <c r="A56" s="13"/>
      <c r="B56" s="98" t="s">
        <v>59</v>
      </c>
      <c r="C56" s="99" t="s">
        <v>42</v>
      </c>
      <c r="D56" s="96">
        <v>798.93</v>
      </c>
      <c r="E56" s="101" t="s">
        <v>184</v>
      </c>
      <c r="F56" s="96">
        <f>10%*D56</f>
        <v>79.893000000000001</v>
      </c>
      <c r="G56" s="97">
        <v>0</v>
      </c>
      <c r="H56" s="96">
        <f t="shared" si="12"/>
        <v>79.893000000000001</v>
      </c>
      <c r="I56" s="97">
        <v>0</v>
      </c>
      <c r="J56" s="97"/>
      <c r="K56" s="97">
        <v>0</v>
      </c>
      <c r="L56" s="97">
        <v>0</v>
      </c>
      <c r="M56" s="97">
        <f t="shared" si="13"/>
        <v>0</v>
      </c>
      <c r="N56" s="35"/>
      <c r="O56" s="36"/>
      <c r="P56" s="16"/>
    </row>
    <row r="57" spans="1:16" ht="28.5" customHeight="1" x14ac:dyDescent="0.3">
      <c r="A57" s="13"/>
      <c r="B57" s="98" t="s">
        <v>60</v>
      </c>
      <c r="C57" s="99" t="s">
        <v>21</v>
      </c>
      <c r="D57" s="96">
        <v>1086.55</v>
      </c>
      <c r="E57" s="101" t="s">
        <v>186</v>
      </c>
      <c r="F57" s="96">
        <f>16%*D57</f>
        <v>173.84799999999998</v>
      </c>
      <c r="G57" s="97">
        <v>0</v>
      </c>
      <c r="H57" s="96">
        <f t="shared" si="12"/>
        <v>173.84799999999998</v>
      </c>
      <c r="I57" s="97">
        <v>0</v>
      </c>
      <c r="J57" s="97">
        <v>3</v>
      </c>
      <c r="K57" s="97">
        <v>3</v>
      </c>
      <c r="L57" s="97">
        <v>0</v>
      </c>
      <c r="M57" s="97">
        <f t="shared" si="13"/>
        <v>6</v>
      </c>
      <c r="N57" s="35"/>
      <c r="O57" s="36"/>
      <c r="P57" s="16"/>
    </row>
    <row r="58" spans="1:16" ht="17.25" customHeight="1" x14ac:dyDescent="0.3">
      <c r="A58" s="13"/>
      <c r="B58" s="98"/>
      <c r="C58" s="99"/>
      <c r="D58" s="96"/>
      <c r="E58" s="100" t="s">
        <v>185</v>
      </c>
      <c r="F58" s="96">
        <v>65</v>
      </c>
      <c r="G58" s="97">
        <v>0</v>
      </c>
      <c r="H58" s="96">
        <f t="shared" si="12"/>
        <v>65</v>
      </c>
      <c r="I58" s="97">
        <v>0</v>
      </c>
      <c r="J58" s="97"/>
      <c r="K58" s="97">
        <v>0</v>
      </c>
      <c r="L58" s="97">
        <v>0</v>
      </c>
      <c r="M58" s="97">
        <f t="shared" si="13"/>
        <v>0</v>
      </c>
      <c r="N58" s="35"/>
      <c r="O58" s="36"/>
      <c r="P58" s="16"/>
    </row>
    <row r="59" spans="1:16" ht="14.25" customHeight="1" x14ac:dyDescent="0.3">
      <c r="A59" s="16"/>
      <c r="B59" s="14" t="s">
        <v>61</v>
      </c>
      <c r="C59" s="15" t="s">
        <v>22</v>
      </c>
      <c r="D59" s="26">
        <v>1084.55</v>
      </c>
      <c r="E59" s="47" t="s">
        <v>134</v>
      </c>
      <c r="F59" s="26">
        <f>10%*D59</f>
        <v>108.455</v>
      </c>
      <c r="G59" s="19">
        <v>0</v>
      </c>
      <c r="H59" s="26">
        <f t="shared" si="12"/>
        <v>108.455</v>
      </c>
      <c r="I59" s="19">
        <v>0</v>
      </c>
      <c r="J59" s="19">
        <v>4</v>
      </c>
      <c r="K59" s="19">
        <v>3</v>
      </c>
      <c r="L59" s="19">
        <v>0</v>
      </c>
      <c r="M59" s="19">
        <f t="shared" si="13"/>
        <v>7</v>
      </c>
      <c r="N59" s="35"/>
      <c r="O59" s="36"/>
      <c r="P59" s="16"/>
    </row>
    <row r="60" spans="1:16" ht="14.25" customHeight="1" x14ac:dyDescent="0.3">
      <c r="A60" s="87"/>
      <c r="B60" s="55" t="s">
        <v>62</v>
      </c>
      <c r="C60" s="56" t="s">
        <v>43</v>
      </c>
      <c r="D60" s="57">
        <v>33</v>
      </c>
      <c r="E60" s="47" t="s">
        <v>53</v>
      </c>
      <c r="F60" s="26">
        <f>10%*D60</f>
        <v>3.3000000000000003</v>
      </c>
      <c r="G60" s="19">
        <v>0</v>
      </c>
      <c r="H60" s="26">
        <f t="shared" si="12"/>
        <v>3.3000000000000003</v>
      </c>
      <c r="I60" s="19">
        <v>0</v>
      </c>
      <c r="J60" s="19">
        <v>4</v>
      </c>
      <c r="K60" s="19">
        <v>0</v>
      </c>
      <c r="L60" s="19">
        <v>0</v>
      </c>
      <c r="M60" s="19">
        <f t="shared" si="13"/>
        <v>4</v>
      </c>
      <c r="N60" s="80"/>
      <c r="O60" s="81"/>
      <c r="P60" s="87"/>
    </row>
    <row r="61" spans="1:16" ht="14.25" customHeight="1" x14ac:dyDescent="0.3">
      <c r="A61" s="75"/>
      <c r="B61" s="71"/>
      <c r="C61" s="72"/>
      <c r="D61" s="73">
        <f>SUM(D54:D60)</f>
        <v>3448.0299999999997</v>
      </c>
      <c r="E61" s="74"/>
      <c r="F61" s="73">
        <f t="shared" ref="F61:K61" si="14">SUM(F54:F60)</f>
        <v>474.99599999999998</v>
      </c>
      <c r="G61" s="83">
        <f t="shared" si="14"/>
        <v>0</v>
      </c>
      <c r="H61" s="73">
        <f t="shared" si="14"/>
        <v>474.99599999999998</v>
      </c>
      <c r="I61" s="83">
        <f t="shared" si="14"/>
        <v>0</v>
      </c>
      <c r="J61" s="83">
        <f t="shared" si="14"/>
        <v>14</v>
      </c>
      <c r="K61" s="83">
        <f t="shared" si="14"/>
        <v>6</v>
      </c>
      <c r="L61" s="83"/>
      <c r="M61" s="83">
        <f>SUM(M54:M60)</f>
        <v>20</v>
      </c>
      <c r="N61" s="76"/>
      <c r="O61" s="77"/>
      <c r="P61" s="75"/>
    </row>
    <row r="62" spans="1:16" ht="14.25" customHeight="1" x14ac:dyDescent="0.3">
      <c r="A62" s="63">
        <v>5</v>
      </c>
      <c r="B62" s="64" t="s">
        <v>96</v>
      </c>
      <c r="C62" s="65"/>
      <c r="D62" s="66"/>
      <c r="E62" s="67"/>
      <c r="F62" s="66"/>
      <c r="G62" s="82"/>
      <c r="H62" s="66"/>
      <c r="I62" s="82"/>
      <c r="J62" s="82"/>
      <c r="K62" s="82"/>
      <c r="L62" s="82"/>
      <c r="M62" s="82"/>
      <c r="N62" s="69"/>
      <c r="O62" s="70"/>
      <c r="P62" s="68"/>
    </row>
    <row r="63" spans="1:16" ht="14.25" customHeight="1" x14ac:dyDescent="0.3">
      <c r="A63" s="16"/>
      <c r="B63" s="14" t="s">
        <v>57</v>
      </c>
      <c r="C63" s="15" t="s">
        <v>22</v>
      </c>
      <c r="D63" s="26">
        <v>9.5</v>
      </c>
      <c r="E63" s="47" t="s">
        <v>163</v>
      </c>
      <c r="F63" s="26">
        <f>10%*D63</f>
        <v>0.95000000000000007</v>
      </c>
      <c r="G63" s="19">
        <v>0</v>
      </c>
      <c r="H63" s="26">
        <f t="shared" ref="H63:H71" si="15">SUM(F63:G63)</f>
        <v>0.95000000000000007</v>
      </c>
      <c r="I63" s="19">
        <v>0</v>
      </c>
      <c r="J63" s="19"/>
      <c r="K63" s="19">
        <v>0</v>
      </c>
      <c r="L63" s="19">
        <v>0</v>
      </c>
      <c r="M63" s="19">
        <f>SUM(I63:L63)</f>
        <v>0</v>
      </c>
      <c r="N63" s="35"/>
      <c r="O63" s="36" t="s">
        <v>136</v>
      </c>
      <c r="P63" s="16"/>
    </row>
    <row r="64" spans="1:16" ht="14.25" customHeight="1" x14ac:dyDescent="0.3">
      <c r="A64" s="16"/>
      <c r="B64" s="14" t="s">
        <v>58</v>
      </c>
      <c r="C64" s="15" t="s">
        <v>21</v>
      </c>
      <c r="D64" s="26">
        <v>17.11</v>
      </c>
      <c r="E64" s="47" t="s">
        <v>164</v>
      </c>
      <c r="F64" s="26">
        <f>10%*D64</f>
        <v>1.7110000000000001</v>
      </c>
      <c r="G64" s="19">
        <v>0</v>
      </c>
      <c r="H64" s="26">
        <f t="shared" si="15"/>
        <v>1.7110000000000001</v>
      </c>
      <c r="I64" s="19">
        <v>0</v>
      </c>
      <c r="J64" s="19">
        <v>10</v>
      </c>
      <c r="K64" s="19">
        <v>0</v>
      </c>
      <c r="L64" s="19">
        <v>0</v>
      </c>
      <c r="M64" s="19">
        <f t="shared" ref="M64:M71" si="16">SUM(I64:L64)</f>
        <v>10</v>
      </c>
      <c r="N64" s="35"/>
      <c r="O64" s="36" t="s">
        <v>50</v>
      </c>
      <c r="P64" s="16"/>
    </row>
    <row r="65" spans="1:16" ht="30.75" customHeight="1" x14ac:dyDescent="0.3">
      <c r="A65" s="16"/>
      <c r="B65" s="14"/>
      <c r="C65" s="15"/>
      <c r="D65" s="26"/>
      <c r="E65" s="49" t="s">
        <v>187</v>
      </c>
      <c r="F65" s="96">
        <v>1</v>
      </c>
      <c r="G65" s="97">
        <v>0</v>
      </c>
      <c r="H65" s="96">
        <f t="shared" si="15"/>
        <v>1</v>
      </c>
      <c r="I65" s="97">
        <v>0</v>
      </c>
      <c r="J65" s="97">
        <v>0</v>
      </c>
      <c r="K65" s="97">
        <v>0</v>
      </c>
      <c r="L65" s="97">
        <v>0</v>
      </c>
      <c r="M65" s="97">
        <f t="shared" si="16"/>
        <v>0</v>
      </c>
      <c r="N65" s="35"/>
      <c r="O65" s="36"/>
      <c r="P65" s="16"/>
    </row>
    <row r="66" spans="1:16" ht="14.25" customHeight="1" x14ac:dyDescent="0.3">
      <c r="A66" s="16"/>
      <c r="B66" s="14" t="s">
        <v>59</v>
      </c>
      <c r="C66" s="15" t="s">
        <v>43</v>
      </c>
      <c r="D66" s="26">
        <v>17.79</v>
      </c>
      <c r="E66" s="47" t="s">
        <v>163</v>
      </c>
      <c r="F66" s="26">
        <f t="shared" ref="F66:F71" si="17">10%*D66</f>
        <v>1.7789999999999999</v>
      </c>
      <c r="G66" s="19">
        <v>0</v>
      </c>
      <c r="H66" s="26">
        <f t="shared" si="15"/>
        <v>1.7789999999999999</v>
      </c>
      <c r="I66" s="19">
        <v>0</v>
      </c>
      <c r="J66" s="19">
        <v>2</v>
      </c>
      <c r="K66" s="19">
        <v>1</v>
      </c>
      <c r="L66" s="19">
        <v>0</v>
      </c>
      <c r="M66" s="19">
        <f t="shared" si="16"/>
        <v>3</v>
      </c>
      <c r="N66" s="35"/>
      <c r="O66" s="36" t="s">
        <v>137</v>
      </c>
      <c r="P66" s="16"/>
    </row>
    <row r="67" spans="1:16" ht="14.25" customHeight="1" x14ac:dyDescent="0.3">
      <c r="A67" s="16"/>
      <c r="B67" s="14" t="s">
        <v>60</v>
      </c>
      <c r="C67" s="15" t="s">
        <v>44</v>
      </c>
      <c r="D67" s="26">
        <v>30.5</v>
      </c>
      <c r="E67" s="47" t="s">
        <v>164</v>
      </c>
      <c r="F67" s="26">
        <f t="shared" si="17"/>
        <v>3.0500000000000003</v>
      </c>
      <c r="G67" s="19">
        <v>0</v>
      </c>
      <c r="H67" s="26">
        <f t="shared" si="15"/>
        <v>3.0500000000000003</v>
      </c>
      <c r="I67" s="19">
        <v>0</v>
      </c>
      <c r="J67" s="19">
        <v>0</v>
      </c>
      <c r="K67" s="19">
        <v>0</v>
      </c>
      <c r="L67" s="19">
        <v>0</v>
      </c>
      <c r="M67" s="19">
        <f t="shared" si="16"/>
        <v>0</v>
      </c>
      <c r="N67" s="35"/>
      <c r="O67" s="36" t="s">
        <v>145</v>
      </c>
      <c r="P67" s="16"/>
    </row>
    <row r="68" spans="1:16" ht="14.25" customHeight="1" x14ac:dyDescent="0.3">
      <c r="A68" s="16"/>
      <c r="B68" s="14" t="s">
        <v>61</v>
      </c>
      <c r="C68" s="15" t="s">
        <v>33</v>
      </c>
      <c r="D68" s="26">
        <v>5.2</v>
      </c>
      <c r="E68" s="47" t="s">
        <v>163</v>
      </c>
      <c r="F68" s="26">
        <f t="shared" si="17"/>
        <v>0.52</v>
      </c>
      <c r="G68" s="19">
        <v>0</v>
      </c>
      <c r="H68" s="26">
        <f t="shared" si="15"/>
        <v>0.52</v>
      </c>
      <c r="I68" s="19">
        <v>0</v>
      </c>
      <c r="J68" s="19">
        <v>0</v>
      </c>
      <c r="K68" s="19">
        <v>0</v>
      </c>
      <c r="L68" s="19">
        <v>0</v>
      </c>
      <c r="M68" s="19">
        <f t="shared" si="16"/>
        <v>0</v>
      </c>
      <c r="N68" s="35"/>
      <c r="O68" s="36" t="s">
        <v>146</v>
      </c>
      <c r="P68" s="16"/>
    </row>
    <row r="69" spans="1:16" ht="14.25" customHeight="1" x14ac:dyDescent="0.3">
      <c r="A69" s="16"/>
      <c r="B69" s="14" t="s">
        <v>62</v>
      </c>
      <c r="C69" s="15" t="s">
        <v>32</v>
      </c>
      <c r="D69" s="26">
        <v>0.25</v>
      </c>
      <c r="E69" s="47" t="s">
        <v>163</v>
      </c>
      <c r="F69" s="26">
        <f t="shared" si="17"/>
        <v>2.5000000000000001E-2</v>
      </c>
      <c r="G69" s="19">
        <v>0</v>
      </c>
      <c r="H69" s="26">
        <f t="shared" si="15"/>
        <v>2.5000000000000001E-2</v>
      </c>
      <c r="I69" s="19">
        <v>0</v>
      </c>
      <c r="J69" s="19">
        <v>0</v>
      </c>
      <c r="K69" s="19">
        <v>0</v>
      </c>
      <c r="L69" s="19">
        <v>0</v>
      </c>
      <c r="M69" s="19">
        <f t="shared" si="16"/>
        <v>0</v>
      </c>
      <c r="N69" s="35"/>
      <c r="O69" s="36"/>
      <c r="P69" s="16"/>
    </row>
    <row r="70" spans="1:16" ht="20.25" customHeight="1" x14ac:dyDescent="0.3">
      <c r="A70" s="16"/>
      <c r="B70" s="14">
        <v>9</v>
      </c>
      <c r="C70" s="15" t="s">
        <v>30</v>
      </c>
      <c r="D70" s="26">
        <v>9.5</v>
      </c>
      <c r="E70" s="47" t="s">
        <v>163</v>
      </c>
      <c r="F70" s="26">
        <f t="shared" si="17"/>
        <v>0.95000000000000007</v>
      </c>
      <c r="G70" s="19">
        <v>0</v>
      </c>
      <c r="H70" s="26">
        <f t="shared" si="15"/>
        <v>0.95000000000000007</v>
      </c>
      <c r="I70" s="19">
        <v>0</v>
      </c>
      <c r="J70" s="19">
        <v>0</v>
      </c>
      <c r="K70" s="19">
        <v>0</v>
      </c>
      <c r="L70" s="19">
        <v>0</v>
      </c>
      <c r="M70" s="19">
        <f t="shared" si="16"/>
        <v>0</v>
      </c>
      <c r="N70" s="35"/>
      <c r="O70" s="36"/>
      <c r="P70" s="16"/>
    </row>
    <row r="71" spans="1:16" ht="24" customHeight="1" x14ac:dyDescent="0.3">
      <c r="A71" s="87"/>
      <c r="B71" s="55" t="s">
        <v>64</v>
      </c>
      <c r="C71" s="56" t="s">
        <v>31</v>
      </c>
      <c r="D71" s="57">
        <v>4</v>
      </c>
      <c r="E71" s="85" t="s">
        <v>164</v>
      </c>
      <c r="F71" s="26">
        <f t="shared" si="17"/>
        <v>0.4</v>
      </c>
      <c r="G71" s="19">
        <v>0</v>
      </c>
      <c r="H71" s="26">
        <f t="shared" si="15"/>
        <v>0.4</v>
      </c>
      <c r="I71" s="79">
        <v>0</v>
      </c>
      <c r="J71" s="79">
        <v>0</v>
      </c>
      <c r="K71" s="79">
        <v>0</v>
      </c>
      <c r="L71" s="79">
        <v>0</v>
      </c>
      <c r="M71" s="79">
        <f t="shared" si="16"/>
        <v>0</v>
      </c>
      <c r="N71" s="80"/>
      <c r="O71" s="81"/>
      <c r="P71" s="87"/>
    </row>
    <row r="72" spans="1:16" ht="25.5" customHeight="1" x14ac:dyDescent="0.3">
      <c r="A72" s="75"/>
      <c r="B72" s="71"/>
      <c r="C72" s="72"/>
      <c r="D72" s="73">
        <f>SUM(D63:D71)</f>
        <v>93.850000000000009</v>
      </c>
      <c r="E72" s="74"/>
      <c r="F72" s="73">
        <f t="shared" ref="F72:K72" si="18">SUM(F63:F71)</f>
        <v>10.385</v>
      </c>
      <c r="G72" s="83">
        <f t="shared" si="18"/>
        <v>0</v>
      </c>
      <c r="H72" s="73">
        <f t="shared" si="18"/>
        <v>10.385</v>
      </c>
      <c r="I72" s="83">
        <f t="shared" si="18"/>
        <v>0</v>
      </c>
      <c r="J72" s="83">
        <f t="shared" si="18"/>
        <v>12</v>
      </c>
      <c r="K72" s="83">
        <f t="shared" si="18"/>
        <v>1</v>
      </c>
      <c r="L72" s="83">
        <f>SUM(L49:L55)</f>
        <v>0</v>
      </c>
      <c r="M72" s="83">
        <f>SUM(M63:M71)</f>
        <v>13</v>
      </c>
      <c r="N72" s="76"/>
      <c r="O72" s="77"/>
      <c r="P72" s="75"/>
    </row>
    <row r="73" spans="1:16" ht="14.25" customHeight="1" x14ac:dyDescent="0.3">
      <c r="A73" s="103">
        <v>6</v>
      </c>
      <c r="B73" s="104" t="s">
        <v>116</v>
      </c>
      <c r="C73" s="104"/>
      <c r="D73" s="105"/>
      <c r="E73" s="106"/>
      <c r="F73" s="105"/>
      <c r="G73" s="107"/>
      <c r="H73" s="105"/>
      <c r="I73" s="107"/>
      <c r="J73" s="107"/>
      <c r="K73" s="107"/>
      <c r="L73" s="107"/>
      <c r="M73" s="107"/>
      <c r="N73" s="114"/>
      <c r="O73" s="112"/>
      <c r="P73" s="104"/>
    </row>
    <row r="74" spans="1:16" ht="51.75" customHeight="1" x14ac:dyDescent="0.3">
      <c r="A74" s="16"/>
      <c r="B74" s="98" t="s">
        <v>57</v>
      </c>
      <c r="C74" s="99" t="s">
        <v>30</v>
      </c>
      <c r="D74" s="96">
        <v>24.5</v>
      </c>
      <c r="E74" s="101" t="s">
        <v>188</v>
      </c>
      <c r="F74" s="96">
        <f>5%*D74</f>
        <v>1.2250000000000001</v>
      </c>
      <c r="G74" s="97">
        <v>0</v>
      </c>
      <c r="H74" s="96">
        <f t="shared" ref="H74:H79" si="19">SUM(F74:G74)</f>
        <v>1.2250000000000001</v>
      </c>
      <c r="I74" s="97">
        <v>0</v>
      </c>
      <c r="J74" s="97"/>
      <c r="K74" s="97">
        <v>0</v>
      </c>
      <c r="L74" s="97">
        <v>0</v>
      </c>
      <c r="M74" s="97">
        <f>SUM(I74:L74)</f>
        <v>0</v>
      </c>
      <c r="N74" s="35"/>
      <c r="O74" s="40" t="s">
        <v>189</v>
      </c>
      <c r="P74" s="16"/>
    </row>
    <row r="75" spans="1:16" ht="23.25" customHeight="1" x14ac:dyDescent="0.3">
      <c r="A75" s="16"/>
      <c r="B75" s="98"/>
      <c r="C75" s="99"/>
      <c r="D75" s="96"/>
      <c r="E75" s="100" t="s">
        <v>182</v>
      </c>
      <c r="F75" s="96">
        <v>3</v>
      </c>
      <c r="G75" s="97">
        <v>0</v>
      </c>
      <c r="H75" s="96">
        <f t="shared" si="19"/>
        <v>3</v>
      </c>
      <c r="I75" s="97">
        <v>0</v>
      </c>
      <c r="J75" s="97"/>
      <c r="K75" s="97">
        <v>0</v>
      </c>
      <c r="L75" s="97">
        <v>0</v>
      </c>
      <c r="M75" s="97">
        <f>SUM(I75:L75)</f>
        <v>0</v>
      </c>
      <c r="N75" s="35"/>
      <c r="O75" s="36"/>
      <c r="P75" s="16"/>
    </row>
    <row r="76" spans="1:16" ht="14.25" customHeight="1" x14ac:dyDescent="0.3">
      <c r="A76" s="16"/>
      <c r="B76" s="14" t="s">
        <v>58</v>
      </c>
      <c r="C76" s="15" t="s">
        <v>44</v>
      </c>
      <c r="D76" s="26">
        <v>72.03</v>
      </c>
      <c r="E76" s="47" t="s">
        <v>182</v>
      </c>
      <c r="F76" s="26">
        <f>8%*D76</f>
        <v>5.7624000000000004</v>
      </c>
      <c r="G76" s="19">
        <v>0</v>
      </c>
      <c r="H76" s="26">
        <f t="shared" si="19"/>
        <v>5.7624000000000004</v>
      </c>
      <c r="I76" s="19">
        <v>0</v>
      </c>
      <c r="J76" s="19">
        <v>3</v>
      </c>
      <c r="K76" s="19">
        <v>0</v>
      </c>
      <c r="L76" s="19">
        <v>0</v>
      </c>
      <c r="M76" s="19">
        <f t="shared" ref="M76:M79" si="20">SUM(I76:L76)</f>
        <v>3</v>
      </c>
      <c r="N76" s="35"/>
      <c r="O76" s="36"/>
      <c r="P76" s="16"/>
    </row>
    <row r="77" spans="1:16" ht="25.5" customHeight="1" x14ac:dyDescent="0.3">
      <c r="A77" s="16"/>
      <c r="B77" s="14"/>
      <c r="C77" s="15"/>
      <c r="D77" s="26"/>
      <c r="E77" s="101" t="s">
        <v>181</v>
      </c>
      <c r="F77" s="96">
        <v>3</v>
      </c>
      <c r="G77" s="97">
        <v>0</v>
      </c>
      <c r="H77" s="96">
        <f t="shared" si="19"/>
        <v>3</v>
      </c>
      <c r="I77" s="97">
        <v>0</v>
      </c>
      <c r="J77" s="97"/>
      <c r="K77" s="97">
        <v>0</v>
      </c>
      <c r="L77" s="97">
        <v>0</v>
      </c>
      <c r="M77" s="97">
        <f>SUM(I77:L77)</f>
        <v>0</v>
      </c>
      <c r="N77" s="35"/>
      <c r="O77" s="36"/>
      <c r="P77" s="16"/>
    </row>
    <row r="78" spans="1:16" ht="23.25" customHeight="1" x14ac:dyDescent="0.3">
      <c r="A78" s="16"/>
      <c r="B78" s="14" t="s">
        <v>59</v>
      </c>
      <c r="C78" s="15" t="s">
        <v>33</v>
      </c>
      <c r="D78" s="26">
        <v>14.2</v>
      </c>
      <c r="E78" s="101" t="s">
        <v>181</v>
      </c>
      <c r="F78" s="26">
        <f>9%*D78</f>
        <v>1.2779999999999998</v>
      </c>
      <c r="G78" s="19">
        <v>0</v>
      </c>
      <c r="H78" s="26">
        <f t="shared" si="19"/>
        <v>1.2779999999999998</v>
      </c>
      <c r="I78" s="19">
        <v>0</v>
      </c>
      <c r="J78" s="19"/>
      <c r="K78" s="19">
        <v>1</v>
      </c>
      <c r="L78" s="19">
        <v>0</v>
      </c>
      <c r="M78" s="19">
        <f t="shared" si="20"/>
        <v>1</v>
      </c>
      <c r="N78" s="35"/>
      <c r="O78" s="36"/>
      <c r="P78" s="16"/>
    </row>
    <row r="79" spans="1:16" ht="36" customHeight="1" x14ac:dyDescent="0.3">
      <c r="A79" s="16"/>
      <c r="B79" s="122" t="s">
        <v>61</v>
      </c>
      <c r="C79" s="123" t="s">
        <v>35</v>
      </c>
      <c r="D79" s="124">
        <v>35.72</v>
      </c>
      <c r="E79" s="101" t="s">
        <v>183</v>
      </c>
      <c r="F79" s="96">
        <f>8%*D79</f>
        <v>2.8576000000000001</v>
      </c>
      <c r="G79" s="97">
        <v>0</v>
      </c>
      <c r="H79" s="96">
        <f t="shared" si="19"/>
        <v>2.8576000000000001</v>
      </c>
      <c r="I79" s="97">
        <v>0</v>
      </c>
      <c r="J79" s="97">
        <v>0</v>
      </c>
      <c r="K79" s="97">
        <v>0</v>
      </c>
      <c r="L79" s="97">
        <v>0</v>
      </c>
      <c r="M79" s="97">
        <f t="shared" si="20"/>
        <v>0</v>
      </c>
      <c r="N79" s="35"/>
      <c r="O79" s="36"/>
      <c r="P79" s="16"/>
    </row>
    <row r="80" spans="1:16" ht="14.25" customHeight="1" x14ac:dyDescent="0.3">
      <c r="A80" s="68"/>
      <c r="B80" s="128"/>
      <c r="C80" s="126"/>
      <c r="D80" s="127">
        <f>SUM(D74:D79)</f>
        <v>146.44999999999999</v>
      </c>
      <c r="E80" s="129"/>
      <c r="F80" s="130"/>
      <c r="G80" s="131"/>
      <c r="H80" s="130"/>
      <c r="I80" s="131"/>
      <c r="J80" s="131"/>
      <c r="K80" s="131"/>
      <c r="L80" s="131"/>
      <c r="M80" s="131"/>
      <c r="N80" s="69"/>
      <c r="O80" s="70"/>
      <c r="P80" s="87"/>
    </row>
    <row r="81" spans="1:16" ht="14.25" customHeight="1" x14ac:dyDescent="0.3">
      <c r="A81" s="103">
        <v>7</v>
      </c>
      <c r="B81" s="8" t="s">
        <v>117</v>
      </c>
      <c r="C81" s="10"/>
      <c r="D81" s="90"/>
      <c r="E81" s="106"/>
      <c r="F81" s="105"/>
      <c r="G81" s="107"/>
      <c r="H81" s="105"/>
      <c r="I81" s="107"/>
      <c r="J81" s="107"/>
      <c r="K81" s="107"/>
      <c r="L81" s="107"/>
      <c r="M81" s="107"/>
      <c r="N81" s="114"/>
      <c r="O81" s="112"/>
      <c r="P81" s="87"/>
    </row>
    <row r="82" spans="1:16" ht="26.25" customHeight="1" x14ac:dyDescent="0.3">
      <c r="A82" s="16"/>
      <c r="B82" s="14" t="s">
        <v>57</v>
      </c>
      <c r="C82" s="15" t="s">
        <v>22</v>
      </c>
      <c r="D82" s="26">
        <v>296.95</v>
      </c>
      <c r="E82" s="101" t="s">
        <v>203</v>
      </c>
      <c r="F82" s="96">
        <f>10%*D82</f>
        <v>29.695</v>
      </c>
      <c r="G82" s="97">
        <v>0</v>
      </c>
      <c r="H82" s="96">
        <f t="shared" ref="H82:H87" si="21">SUM(F82:G82)</f>
        <v>29.695</v>
      </c>
      <c r="I82" s="97">
        <v>0</v>
      </c>
      <c r="J82" s="97">
        <v>7</v>
      </c>
      <c r="K82" s="97">
        <v>0</v>
      </c>
      <c r="L82" s="97">
        <v>2</v>
      </c>
      <c r="M82" s="97">
        <f>SUM(I82:L82)</f>
        <v>9</v>
      </c>
      <c r="N82" s="35"/>
      <c r="O82" s="40" t="s">
        <v>211</v>
      </c>
      <c r="P82" s="87"/>
    </row>
    <row r="83" spans="1:16" ht="27.75" customHeight="1" x14ac:dyDescent="0.3">
      <c r="A83" s="16"/>
      <c r="B83" s="14" t="s">
        <v>58</v>
      </c>
      <c r="C83" s="15" t="s">
        <v>42</v>
      </c>
      <c r="D83" s="26">
        <v>190.5</v>
      </c>
      <c r="E83" s="101" t="s">
        <v>203</v>
      </c>
      <c r="F83" s="96">
        <f>10%*D83</f>
        <v>19.05</v>
      </c>
      <c r="G83" s="97">
        <v>0</v>
      </c>
      <c r="H83" s="96">
        <f t="shared" si="21"/>
        <v>19.05</v>
      </c>
      <c r="I83" s="97">
        <v>0</v>
      </c>
      <c r="J83" s="97"/>
      <c r="K83" s="97">
        <v>0</v>
      </c>
      <c r="L83" s="97">
        <v>0</v>
      </c>
      <c r="M83" s="97">
        <f>SUM(I83:L83)</f>
        <v>0</v>
      </c>
      <c r="N83" s="35"/>
      <c r="O83" s="40" t="s">
        <v>210</v>
      </c>
      <c r="P83" s="87"/>
    </row>
    <row r="84" spans="1:16" ht="20.25" customHeight="1" x14ac:dyDescent="0.3">
      <c r="A84" s="16"/>
      <c r="B84" s="14" t="s">
        <v>59</v>
      </c>
      <c r="C84" s="15" t="s">
        <v>21</v>
      </c>
      <c r="D84" s="18" t="s">
        <v>201</v>
      </c>
      <c r="E84" s="101" t="s">
        <v>203</v>
      </c>
      <c r="F84" s="96">
        <v>3</v>
      </c>
      <c r="G84" s="97">
        <v>0</v>
      </c>
      <c r="H84" s="96">
        <f t="shared" si="21"/>
        <v>3</v>
      </c>
      <c r="I84" s="97">
        <v>0</v>
      </c>
      <c r="J84" s="97"/>
      <c r="K84" s="97">
        <v>0</v>
      </c>
      <c r="L84" s="97">
        <v>0</v>
      </c>
      <c r="M84" s="97">
        <f>SUM(I84:L84)</f>
        <v>0</v>
      </c>
      <c r="N84" s="35"/>
      <c r="O84" s="36"/>
      <c r="P84" s="87"/>
    </row>
    <row r="85" spans="1:16" ht="27" customHeight="1" x14ac:dyDescent="0.3">
      <c r="A85" s="16"/>
      <c r="B85" s="14" t="s">
        <v>60</v>
      </c>
      <c r="C85" s="15" t="s">
        <v>43</v>
      </c>
      <c r="D85" s="26">
        <v>244.8</v>
      </c>
      <c r="E85" s="101" t="s">
        <v>203</v>
      </c>
      <c r="F85" s="96">
        <f>10%*D85</f>
        <v>24.480000000000004</v>
      </c>
      <c r="G85" s="97">
        <v>0</v>
      </c>
      <c r="H85" s="96">
        <f t="shared" si="21"/>
        <v>24.480000000000004</v>
      </c>
      <c r="I85" s="97">
        <v>0</v>
      </c>
      <c r="J85" s="97">
        <v>5</v>
      </c>
      <c r="K85" s="97">
        <v>0</v>
      </c>
      <c r="L85" s="97">
        <v>2</v>
      </c>
      <c r="M85" s="97">
        <f>SUM(I85:L85)</f>
        <v>7</v>
      </c>
      <c r="N85" s="35"/>
      <c r="O85" s="36"/>
      <c r="P85" s="87"/>
    </row>
    <row r="86" spans="1:16" ht="24" customHeight="1" x14ac:dyDescent="0.3">
      <c r="A86" s="16"/>
      <c r="B86" s="14" t="s">
        <v>61</v>
      </c>
      <c r="C86" s="15" t="s">
        <v>44</v>
      </c>
      <c r="D86" s="26">
        <v>57.95</v>
      </c>
      <c r="E86" s="101" t="s">
        <v>203</v>
      </c>
      <c r="F86" s="26">
        <f>10%*D86</f>
        <v>5.7950000000000008</v>
      </c>
      <c r="G86" s="19">
        <v>0</v>
      </c>
      <c r="H86" s="26">
        <f t="shared" si="21"/>
        <v>5.7950000000000008</v>
      </c>
      <c r="I86" s="19">
        <v>0</v>
      </c>
      <c r="J86" s="19"/>
      <c r="K86" s="19"/>
      <c r="L86" s="19">
        <v>0</v>
      </c>
      <c r="M86" s="19">
        <f t="shared" ref="M86:M87" si="22">SUM(I86:L86)</f>
        <v>0</v>
      </c>
      <c r="N86" s="35"/>
      <c r="O86" s="36"/>
      <c r="P86" s="87"/>
    </row>
    <row r="87" spans="1:16" ht="26.25" customHeight="1" x14ac:dyDescent="0.3">
      <c r="A87" s="16"/>
      <c r="B87" s="14" t="s">
        <v>62</v>
      </c>
      <c r="C87" s="15" t="s">
        <v>27</v>
      </c>
      <c r="D87" s="26">
        <v>2.5</v>
      </c>
      <c r="E87" s="101" t="s">
        <v>203</v>
      </c>
      <c r="F87" s="96">
        <f>10%*D87</f>
        <v>0.25</v>
      </c>
      <c r="G87" s="97">
        <v>0</v>
      </c>
      <c r="H87" s="96">
        <f t="shared" si="21"/>
        <v>0.25</v>
      </c>
      <c r="I87" s="97">
        <v>0</v>
      </c>
      <c r="J87" s="97">
        <v>0</v>
      </c>
      <c r="K87" s="97">
        <v>0</v>
      </c>
      <c r="L87" s="97">
        <v>0</v>
      </c>
      <c r="M87" s="97">
        <f t="shared" si="22"/>
        <v>0</v>
      </c>
      <c r="N87" s="35"/>
      <c r="O87" s="36"/>
      <c r="P87" s="87"/>
    </row>
    <row r="88" spans="1:16" ht="6.75" customHeight="1" x14ac:dyDescent="0.3">
      <c r="A88" s="108"/>
      <c r="B88" s="117"/>
      <c r="C88" s="116"/>
      <c r="D88" s="109"/>
      <c r="E88" s="110"/>
      <c r="F88" s="109"/>
      <c r="G88" s="111"/>
      <c r="H88" s="109"/>
      <c r="I88" s="111"/>
      <c r="J88" s="111"/>
      <c r="K88" s="111"/>
      <c r="L88" s="111"/>
      <c r="M88" s="111"/>
      <c r="N88" s="115"/>
      <c r="O88" s="113"/>
      <c r="P88" s="108"/>
    </row>
    <row r="89" spans="1:16" ht="14.25" customHeight="1" x14ac:dyDescent="0.3">
      <c r="A89" s="75"/>
      <c r="B89" s="71"/>
      <c r="C89" s="72"/>
      <c r="D89" s="73">
        <f>SUM(D82:D88)</f>
        <v>792.7</v>
      </c>
      <c r="E89" s="74"/>
      <c r="F89" s="73">
        <f>SUM(F74:F88)</f>
        <v>99.393000000000001</v>
      </c>
      <c r="G89" s="83">
        <f>SUM(G74:G88)</f>
        <v>0</v>
      </c>
      <c r="H89" s="73">
        <f>SUM(H74:H88)</f>
        <v>99.393000000000001</v>
      </c>
      <c r="I89" s="83"/>
      <c r="J89" s="83"/>
      <c r="K89" s="83"/>
      <c r="L89" s="83"/>
      <c r="M89" s="83"/>
      <c r="N89" s="76"/>
      <c r="O89" s="77"/>
      <c r="P89" s="75"/>
    </row>
    <row r="90" spans="1:16" ht="8.25" customHeight="1" x14ac:dyDescent="0.3">
      <c r="A90" s="6"/>
      <c r="B90" s="9"/>
      <c r="C90" s="11"/>
      <c r="D90" s="6"/>
      <c r="E90" s="52"/>
      <c r="F90" s="7"/>
      <c r="G90" s="7"/>
      <c r="H90" s="7"/>
      <c r="I90" s="7"/>
      <c r="J90" s="7"/>
      <c r="K90" s="7"/>
      <c r="L90" s="7"/>
      <c r="M90" s="7"/>
      <c r="N90" s="9"/>
      <c r="O90" s="11"/>
      <c r="P90" s="6"/>
    </row>
    <row r="91" spans="1:16" ht="8.25" customHeight="1" x14ac:dyDescent="0.3">
      <c r="F91" s="2"/>
      <c r="G91" s="2"/>
      <c r="H91" s="2"/>
      <c r="I91" s="2"/>
      <c r="J91" s="2"/>
      <c r="K91" s="2"/>
      <c r="L91" s="2"/>
      <c r="M91" s="2"/>
    </row>
    <row r="92" spans="1:16" ht="14.25" customHeight="1" x14ac:dyDescent="0.3">
      <c r="F92" s="2"/>
      <c r="G92" s="2"/>
      <c r="H92" s="2"/>
      <c r="I92" s="2"/>
      <c r="J92" s="2" t="s">
        <v>209</v>
      </c>
      <c r="K92" s="2"/>
      <c r="L92" s="2"/>
      <c r="M92" s="2"/>
    </row>
    <row r="93" spans="1:16" ht="12" customHeight="1" x14ac:dyDescent="0.3">
      <c r="A93" s="395" t="s">
        <v>80</v>
      </c>
      <c r="B93" s="395"/>
      <c r="C93" s="395"/>
      <c r="D93" s="395"/>
    </row>
    <row r="94" spans="1:16" x14ac:dyDescent="0.3">
      <c r="A94" s="395" t="s">
        <v>81</v>
      </c>
      <c r="B94" s="395"/>
      <c r="C94" s="395"/>
      <c r="D94" s="395"/>
      <c r="J94" s="1" t="s">
        <v>85</v>
      </c>
    </row>
    <row r="95" spans="1:16" x14ac:dyDescent="0.3">
      <c r="A95" s="395" t="s">
        <v>82</v>
      </c>
      <c r="B95" s="395"/>
      <c r="C95" s="395"/>
      <c r="D95" s="395"/>
      <c r="J95" s="3" t="s">
        <v>86</v>
      </c>
      <c r="K95" s="1" t="s">
        <v>87</v>
      </c>
      <c r="O95" s="1" t="s">
        <v>90</v>
      </c>
    </row>
    <row r="96" spans="1:16" x14ac:dyDescent="0.3">
      <c r="A96" s="395" t="s">
        <v>83</v>
      </c>
      <c r="B96" s="395"/>
      <c r="C96" s="395"/>
      <c r="D96" s="395"/>
      <c r="K96" s="1" t="s">
        <v>91</v>
      </c>
    </row>
    <row r="97" spans="1:15" ht="13.5" customHeight="1" x14ac:dyDescent="0.3"/>
    <row r="98" spans="1:15" ht="13.5" customHeight="1" x14ac:dyDescent="0.3"/>
    <row r="99" spans="1:15" x14ac:dyDescent="0.3">
      <c r="A99" s="398" t="s">
        <v>175</v>
      </c>
      <c r="B99" s="398"/>
      <c r="C99" s="398"/>
      <c r="D99" s="398"/>
      <c r="J99" s="3" t="s">
        <v>88</v>
      </c>
      <c r="K99" s="1" t="s">
        <v>89</v>
      </c>
      <c r="O99" s="1" t="s">
        <v>90</v>
      </c>
    </row>
    <row r="100" spans="1:15" x14ac:dyDescent="0.3">
      <c r="A100" s="395" t="s">
        <v>190</v>
      </c>
      <c r="B100" s="395"/>
      <c r="C100" s="395"/>
      <c r="D100" s="395"/>
      <c r="K100" s="1" t="s">
        <v>92</v>
      </c>
    </row>
  </sheetData>
  <mergeCells count="17">
    <mergeCell ref="A1:P1"/>
    <mergeCell ref="A6:A7"/>
    <mergeCell ref="B6:C6"/>
    <mergeCell ref="D6:D7"/>
    <mergeCell ref="E6:E7"/>
    <mergeCell ref="F6:H6"/>
    <mergeCell ref="I6:M6"/>
    <mergeCell ref="N6:O7"/>
    <mergeCell ref="P6:P7"/>
    <mergeCell ref="B7:C7"/>
    <mergeCell ref="A100:D100"/>
    <mergeCell ref="O20:O23"/>
    <mergeCell ref="A93:D93"/>
    <mergeCell ref="A94:D94"/>
    <mergeCell ref="A95:D95"/>
    <mergeCell ref="A96:D96"/>
    <mergeCell ref="A99:D99"/>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P100"/>
  <sheetViews>
    <sheetView topLeftCell="A52" workbookViewId="0">
      <selection activeCell="J93" sqref="J93"/>
    </sheetView>
  </sheetViews>
  <sheetFormatPr defaultColWidth="9.1796875" defaultRowHeight="14" x14ac:dyDescent="0.3"/>
  <cols>
    <col min="1" max="1" width="9" style="1" customWidth="1"/>
    <col min="2" max="2" width="2.1796875" style="1" customWidth="1"/>
    <col min="3" max="3" width="17.7265625" style="1" customWidth="1"/>
    <col min="4" max="4" width="11.54296875" style="1" customWidth="1"/>
    <col min="5" max="5" width="27" style="1" customWidth="1"/>
    <col min="6" max="6" width="9" style="1" bestFit="1" customWidth="1"/>
    <col min="7" max="7" width="8.81640625" style="1" customWidth="1"/>
    <col min="8" max="8" width="9" style="1" customWidth="1"/>
    <col min="9" max="9" width="6.453125" style="1" bestFit="1" customWidth="1"/>
    <col min="10" max="10" width="6.81640625" style="1" bestFit="1" customWidth="1"/>
    <col min="11" max="11" width="10" style="1" bestFit="1" customWidth="1"/>
    <col min="12" max="12" width="5.54296875" style="1" bestFit="1" customWidth="1"/>
    <col min="13" max="13" width="6.81640625" style="1" bestFit="1" customWidth="1"/>
    <col min="14" max="14" width="2.1796875" style="1" customWidth="1"/>
    <col min="15" max="15" width="29.7265625" style="1" customWidth="1"/>
    <col min="16" max="16" width="10.26953125" style="1" customWidth="1"/>
    <col min="17" max="16384" width="9.1796875" style="1"/>
  </cols>
  <sheetData>
    <row r="1" spans="1:16" x14ac:dyDescent="0.3">
      <c r="A1" s="385" t="s">
        <v>177</v>
      </c>
      <c r="B1" s="385"/>
      <c r="C1" s="385"/>
      <c r="D1" s="385"/>
      <c r="E1" s="385"/>
      <c r="F1" s="385"/>
      <c r="G1" s="385"/>
      <c r="H1" s="385"/>
      <c r="I1" s="385"/>
      <c r="J1" s="385"/>
      <c r="K1" s="385"/>
      <c r="L1" s="385"/>
      <c r="M1" s="385"/>
      <c r="N1" s="385"/>
      <c r="O1" s="385"/>
      <c r="P1" s="385"/>
    </row>
    <row r="2" spans="1:16" ht="14.25" customHeight="1" x14ac:dyDescent="0.3"/>
    <row r="3" spans="1:16" ht="14.25" customHeight="1" x14ac:dyDescent="0.3">
      <c r="A3" s="1" t="s">
        <v>1</v>
      </c>
      <c r="B3" s="1" t="s">
        <v>78</v>
      </c>
      <c r="C3" s="1" t="s">
        <v>77</v>
      </c>
    </row>
    <row r="4" spans="1:16" ht="14.25" customHeight="1" x14ac:dyDescent="0.3">
      <c r="A4" s="1" t="s">
        <v>2</v>
      </c>
      <c r="B4" s="1" t="s">
        <v>78</v>
      </c>
      <c r="C4" s="4" t="s">
        <v>214</v>
      </c>
    </row>
    <row r="6" spans="1:16" x14ac:dyDescent="0.3">
      <c r="A6" s="386" t="s">
        <v>3</v>
      </c>
      <c r="B6" s="388" t="s">
        <v>4</v>
      </c>
      <c r="C6" s="388"/>
      <c r="D6" s="389" t="s">
        <v>6</v>
      </c>
      <c r="E6" s="391" t="s">
        <v>7</v>
      </c>
      <c r="F6" s="393" t="s">
        <v>170</v>
      </c>
      <c r="G6" s="393"/>
      <c r="H6" s="393"/>
      <c r="I6" s="393" t="s">
        <v>12</v>
      </c>
      <c r="J6" s="393"/>
      <c r="K6" s="393"/>
      <c r="L6" s="393"/>
      <c r="M6" s="393"/>
      <c r="N6" s="391" t="s">
        <v>17</v>
      </c>
      <c r="O6" s="391"/>
      <c r="P6" s="386" t="s">
        <v>192</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ht="14.25" customHeight="1" x14ac:dyDescent="0.3">
      <c r="A9" s="13">
        <v>1</v>
      </c>
      <c r="B9" s="14" t="s">
        <v>20</v>
      </c>
      <c r="C9" s="15"/>
      <c r="D9" s="16"/>
      <c r="E9" s="47"/>
      <c r="F9" s="16"/>
      <c r="G9" s="16"/>
      <c r="H9" s="16"/>
      <c r="I9" s="16"/>
      <c r="J9" s="16"/>
      <c r="K9" s="16"/>
      <c r="L9" s="16"/>
      <c r="M9" s="16"/>
      <c r="N9" s="35"/>
      <c r="O9" s="36"/>
      <c r="P9" s="16"/>
    </row>
    <row r="10" spans="1:16" ht="14.25" customHeight="1" x14ac:dyDescent="0.3">
      <c r="A10" s="13"/>
      <c r="B10" s="17" t="s">
        <v>57</v>
      </c>
      <c r="C10" s="15" t="s">
        <v>21</v>
      </c>
      <c r="D10" s="18">
        <v>403.56</v>
      </c>
      <c r="E10" s="47" t="s">
        <v>36</v>
      </c>
      <c r="F10" s="26">
        <f>5%*D10</f>
        <v>20.178000000000001</v>
      </c>
      <c r="G10" s="26">
        <f>4%*D10</f>
        <v>16.142400000000002</v>
      </c>
      <c r="H10" s="26">
        <f>SUM(F10:G10)</f>
        <v>36.320400000000006</v>
      </c>
      <c r="I10" s="19">
        <v>0</v>
      </c>
      <c r="J10" s="19"/>
      <c r="K10" s="19">
        <v>2</v>
      </c>
      <c r="L10" s="19"/>
      <c r="M10" s="20">
        <f>SUM(I10:L10)</f>
        <v>2</v>
      </c>
      <c r="N10" s="37"/>
      <c r="O10" s="36"/>
      <c r="P10" s="16"/>
    </row>
    <row r="11" spans="1:16" ht="14.25" customHeight="1" x14ac:dyDescent="0.3">
      <c r="A11" s="13"/>
      <c r="B11" s="14"/>
      <c r="C11" s="15"/>
      <c r="D11" s="18"/>
      <c r="E11" s="47" t="s">
        <v>37</v>
      </c>
      <c r="F11" s="26">
        <v>3</v>
      </c>
      <c r="G11" s="26">
        <f>5%*D11</f>
        <v>0</v>
      </c>
      <c r="H11" s="26">
        <f>SUM(F11:G11)</f>
        <v>3</v>
      </c>
      <c r="I11" s="19">
        <v>0</v>
      </c>
      <c r="J11" s="19">
        <v>0</v>
      </c>
      <c r="K11" s="19">
        <v>4</v>
      </c>
      <c r="L11" s="19">
        <v>0</v>
      </c>
      <c r="M11" s="20">
        <f t="shared" ref="M11:M17" si="0">SUM(I11:L11)</f>
        <v>4</v>
      </c>
      <c r="N11" s="37" t="s">
        <v>51</v>
      </c>
      <c r="O11" s="38" t="s">
        <v>50</v>
      </c>
      <c r="P11" s="16"/>
    </row>
    <row r="12" spans="1:16" ht="14.25" customHeight="1" x14ac:dyDescent="0.3">
      <c r="A12" s="13"/>
      <c r="B12" s="14"/>
      <c r="C12" s="15"/>
      <c r="D12" s="18"/>
      <c r="E12" s="47" t="s">
        <v>38</v>
      </c>
      <c r="F12" s="26">
        <v>4</v>
      </c>
      <c r="G12" s="26">
        <f>5%*D12</f>
        <v>0</v>
      </c>
      <c r="H12" s="26">
        <f>SUM(F12:G12)</f>
        <v>4</v>
      </c>
      <c r="I12" s="19">
        <v>0</v>
      </c>
      <c r="J12" s="19"/>
      <c r="K12" s="19">
        <v>4</v>
      </c>
      <c r="L12" s="19">
        <v>0</v>
      </c>
      <c r="M12" s="20">
        <f t="shared" si="0"/>
        <v>4</v>
      </c>
      <c r="N12" s="37" t="s">
        <v>51</v>
      </c>
      <c r="O12" s="36" t="s">
        <v>49</v>
      </c>
      <c r="P12" s="16"/>
    </row>
    <row r="13" spans="1:16" ht="14.25" customHeight="1" x14ac:dyDescent="0.3">
      <c r="A13" s="13"/>
      <c r="B13" s="14"/>
      <c r="C13" s="15"/>
      <c r="D13" s="18"/>
      <c r="E13" s="48" t="s">
        <v>39</v>
      </c>
      <c r="F13" s="26">
        <v>12</v>
      </c>
      <c r="G13" s="26">
        <f>5%*D13</f>
        <v>0</v>
      </c>
      <c r="H13" s="26">
        <f>SUM(F13:G13)</f>
        <v>12</v>
      </c>
      <c r="I13" s="22">
        <v>0</v>
      </c>
      <c r="J13" s="22">
        <v>0</v>
      </c>
      <c r="K13" s="22">
        <v>0</v>
      </c>
      <c r="L13" s="22">
        <v>0</v>
      </c>
      <c r="M13" s="23">
        <f t="shared" si="0"/>
        <v>0</v>
      </c>
      <c r="N13" s="39" t="s">
        <v>51</v>
      </c>
      <c r="O13" s="40" t="s">
        <v>48</v>
      </c>
      <c r="P13" s="16"/>
    </row>
    <row r="14" spans="1:16" ht="14.25" customHeight="1" x14ac:dyDescent="0.3">
      <c r="A14" s="13"/>
      <c r="B14" s="17" t="s">
        <v>58</v>
      </c>
      <c r="C14" s="15" t="s">
        <v>22</v>
      </c>
      <c r="D14" s="18">
        <v>728.56</v>
      </c>
      <c r="E14" s="47" t="s">
        <v>36</v>
      </c>
      <c r="F14" s="26">
        <f>10%*D14</f>
        <v>72.855999999999995</v>
      </c>
      <c r="G14" s="26">
        <f>5%*D14</f>
        <v>36.427999999999997</v>
      </c>
      <c r="H14" s="26">
        <f>SUM(F14:G14)</f>
        <v>109.28399999999999</v>
      </c>
      <c r="I14" s="19">
        <v>0</v>
      </c>
      <c r="J14" s="19"/>
      <c r="K14" s="19">
        <v>4</v>
      </c>
      <c r="L14" s="19">
        <v>0</v>
      </c>
      <c r="M14" s="20">
        <f t="shared" si="0"/>
        <v>4</v>
      </c>
      <c r="N14" s="35"/>
      <c r="O14" s="41"/>
      <c r="P14" s="16"/>
    </row>
    <row r="15" spans="1:16" ht="14.25" customHeight="1" x14ac:dyDescent="0.3">
      <c r="A15" s="13"/>
      <c r="B15" s="14"/>
      <c r="C15" s="15"/>
      <c r="D15" s="26"/>
      <c r="E15" s="47" t="s">
        <v>37</v>
      </c>
      <c r="F15" s="26">
        <v>8</v>
      </c>
      <c r="G15" s="26">
        <v>300</v>
      </c>
      <c r="H15" s="26">
        <f t="shared" ref="H15:H17" si="1">SUM(F15:G15)</f>
        <v>308</v>
      </c>
      <c r="I15" s="19">
        <v>0</v>
      </c>
      <c r="J15" s="19">
        <v>0</v>
      </c>
      <c r="K15" s="19">
        <v>6</v>
      </c>
      <c r="L15" s="19">
        <v>0</v>
      </c>
      <c r="M15" s="20">
        <f t="shared" si="0"/>
        <v>6</v>
      </c>
      <c r="N15" s="35"/>
      <c r="O15" s="36"/>
      <c r="P15" s="16"/>
    </row>
    <row r="16" spans="1:16" ht="14.25" customHeight="1" x14ac:dyDescent="0.3">
      <c r="A16" s="13"/>
      <c r="B16" s="14"/>
      <c r="C16" s="15"/>
      <c r="D16" s="26"/>
      <c r="E16" s="47" t="s">
        <v>38</v>
      </c>
      <c r="F16" s="26">
        <v>95</v>
      </c>
      <c r="G16" s="26">
        <v>375</v>
      </c>
      <c r="H16" s="26">
        <f t="shared" si="1"/>
        <v>470</v>
      </c>
      <c r="I16" s="19">
        <v>0</v>
      </c>
      <c r="J16" s="19">
        <v>0</v>
      </c>
      <c r="K16" s="19">
        <v>0</v>
      </c>
      <c r="L16" s="19">
        <v>0</v>
      </c>
      <c r="M16" s="20">
        <f t="shared" si="0"/>
        <v>0</v>
      </c>
      <c r="N16" s="35"/>
      <c r="O16" s="36"/>
      <c r="P16" s="16"/>
    </row>
    <row r="17" spans="1:16" ht="14.25" customHeight="1" x14ac:dyDescent="0.3">
      <c r="A17" s="54"/>
      <c r="B17" s="55"/>
      <c r="C17" s="56"/>
      <c r="D17" s="57"/>
      <c r="E17" s="58" t="s">
        <v>39</v>
      </c>
      <c r="F17" s="119">
        <v>45</v>
      </c>
      <c r="G17" s="119">
        <v>0</v>
      </c>
      <c r="H17" s="119">
        <f t="shared" si="1"/>
        <v>45</v>
      </c>
      <c r="I17" s="59">
        <v>0</v>
      </c>
      <c r="J17" s="59">
        <v>0</v>
      </c>
      <c r="K17" s="59">
        <v>0</v>
      </c>
      <c r="L17" s="59">
        <v>0</v>
      </c>
      <c r="M17" s="60">
        <f t="shared" si="0"/>
        <v>0</v>
      </c>
      <c r="N17" s="61"/>
      <c r="O17" s="62"/>
      <c r="P17" s="88"/>
    </row>
    <row r="18" spans="1:16" ht="14.25" customHeight="1" x14ac:dyDescent="0.3">
      <c r="A18" s="89"/>
      <c r="B18" s="71"/>
      <c r="C18" s="72"/>
      <c r="D18" s="73">
        <f>SUM(D9:D17)</f>
        <v>1132.1199999999999</v>
      </c>
      <c r="E18" s="74"/>
      <c r="F18" s="118">
        <f>SUM(F9:F17)</f>
        <v>260.03399999999999</v>
      </c>
      <c r="G18" s="118">
        <f>SUM(G9:G17)</f>
        <v>727.57040000000006</v>
      </c>
      <c r="H18" s="118">
        <f>SUM(H9:H17)</f>
        <v>987.60439999999994</v>
      </c>
      <c r="I18" s="75">
        <f>SUM(I9:I17)</f>
        <v>0</v>
      </c>
      <c r="J18" s="75">
        <f>SUM(J9:J17)</f>
        <v>0</v>
      </c>
      <c r="K18" s="75">
        <f>SUM(K8:K17)</f>
        <v>20</v>
      </c>
      <c r="L18" s="75"/>
      <c r="M18" s="75">
        <f>SUM(M9:M17)</f>
        <v>20</v>
      </c>
      <c r="N18" s="76"/>
      <c r="O18" s="77"/>
      <c r="P18" s="75"/>
    </row>
    <row r="19" spans="1:16" ht="14.25" customHeight="1" x14ac:dyDescent="0.3">
      <c r="A19" s="63">
        <v>2</v>
      </c>
      <c r="B19" s="64" t="s">
        <v>23</v>
      </c>
      <c r="C19" s="65"/>
      <c r="D19" s="66"/>
      <c r="E19" s="67"/>
      <c r="F19" s="68"/>
      <c r="G19" s="68"/>
      <c r="H19" s="68"/>
      <c r="I19" s="68"/>
      <c r="J19" s="68"/>
      <c r="K19" s="68"/>
      <c r="L19" s="68"/>
      <c r="M19" s="68"/>
      <c r="N19" s="69"/>
      <c r="O19" s="70"/>
      <c r="P19" s="68"/>
    </row>
    <row r="20" spans="1:16" ht="14.25" customHeight="1" x14ac:dyDescent="0.3">
      <c r="A20" s="13"/>
      <c r="B20" s="14" t="s">
        <v>57</v>
      </c>
      <c r="C20" s="15" t="s">
        <v>22</v>
      </c>
      <c r="D20" s="26">
        <v>198</v>
      </c>
      <c r="E20" s="47" t="s">
        <v>40</v>
      </c>
      <c r="F20" s="19">
        <v>0</v>
      </c>
      <c r="G20" s="19">
        <f>10%*D20</f>
        <v>19.8</v>
      </c>
      <c r="H20" s="19">
        <f t="shared" ref="H20" si="2">SUM(F20:G20)</f>
        <v>19.8</v>
      </c>
      <c r="I20" s="19">
        <v>0</v>
      </c>
      <c r="J20" s="19">
        <v>15</v>
      </c>
      <c r="K20" s="19">
        <v>4</v>
      </c>
      <c r="L20" s="19">
        <v>0</v>
      </c>
      <c r="M20" s="20">
        <f t="shared" ref="M20" si="3">SUM(I20:L20)</f>
        <v>19</v>
      </c>
      <c r="N20" s="37" t="s">
        <v>51</v>
      </c>
      <c r="O20" s="399" t="s">
        <v>213</v>
      </c>
      <c r="P20" s="16"/>
    </row>
    <row r="21" spans="1:16" ht="14.25" customHeight="1" x14ac:dyDescent="0.3">
      <c r="A21" s="54"/>
      <c r="B21" s="55"/>
      <c r="C21" s="56"/>
      <c r="D21" s="57"/>
      <c r="E21" s="85"/>
      <c r="F21" s="79"/>
      <c r="G21" s="79"/>
      <c r="H21" s="79"/>
      <c r="I21" s="79"/>
      <c r="J21" s="79"/>
      <c r="K21" s="79"/>
      <c r="L21" s="79"/>
      <c r="M21" s="86"/>
      <c r="N21" s="95"/>
      <c r="O21" s="401"/>
      <c r="P21" s="87"/>
    </row>
    <row r="22" spans="1:16" ht="14.25" customHeight="1" x14ac:dyDescent="0.3">
      <c r="A22" s="54"/>
      <c r="B22" s="55" t="s">
        <v>58</v>
      </c>
      <c r="C22" s="56" t="s">
        <v>42</v>
      </c>
      <c r="D22" s="57">
        <v>55</v>
      </c>
      <c r="E22" s="47" t="s">
        <v>40</v>
      </c>
      <c r="F22" s="19">
        <v>0</v>
      </c>
      <c r="G22" s="19">
        <v>5</v>
      </c>
      <c r="H22" s="19">
        <f t="shared" ref="H22" si="4">SUM(F22:G22)</f>
        <v>5</v>
      </c>
      <c r="I22" s="19">
        <v>0</v>
      </c>
      <c r="J22" s="19">
        <v>1</v>
      </c>
      <c r="K22" s="19">
        <v>4</v>
      </c>
      <c r="L22" s="19">
        <v>0</v>
      </c>
      <c r="M22" s="20">
        <f t="shared" ref="M22" si="5">SUM(I22:L22)</f>
        <v>5</v>
      </c>
      <c r="N22" s="95"/>
      <c r="O22" s="401"/>
      <c r="P22" s="87"/>
    </row>
    <row r="23" spans="1:16" ht="14.25" customHeight="1" x14ac:dyDescent="0.3">
      <c r="A23" s="54"/>
      <c r="B23" s="55"/>
      <c r="C23" s="56"/>
      <c r="D23" s="57"/>
      <c r="E23" s="85"/>
      <c r="F23" s="79"/>
      <c r="G23" s="79"/>
      <c r="H23" s="79"/>
      <c r="I23" s="79"/>
      <c r="J23" s="79"/>
      <c r="K23" s="79"/>
      <c r="L23" s="79"/>
      <c r="M23" s="86"/>
      <c r="N23" s="95"/>
      <c r="O23" s="401"/>
      <c r="P23" s="87"/>
    </row>
    <row r="24" spans="1:16" ht="14.25" customHeight="1" x14ac:dyDescent="0.3">
      <c r="A24" s="89"/>
      <c r="B24" s="71"/>
      <c r="C24" s="72"/>
      <c r="D24" s="73">
        <f>SUM(D19:D23)</f>
        <v>253</v>
      </c>
      <c r="E24" s="74"/>
      <c r="F24" s="83">
        <f t="shared" ref="F24:K24" si="6">SUM(F19:F23)</f>
        <v>0</v>
      </c>
      <c r="G24" s="83">
        <f t="shared" si="6"/>
        <v>24.8</v>
      </c>
      <c r="H24" s="83">
        <f t="shared" si="6"/>
        <v>24.8</v>
      </c>
      <c r="I24" s="83">
        <f t="shared" si="6"/>
        <v>0</v>
      </c>
      <c r="J24" s="83">
        <f t="shared" si="6"/>
        <v>16</v>
      </c>
      <c r="K24" s="83">
        <f t="shared" si="6"/>
        <v>8</v>
      </c>
      <c r="L24" s="83"/>
      <c r="M24" s="83">
        <f>SUM(M19:M23)</f>
        <v>24</v>
      </c>
      <c r="N24" s="76"/>
      <c r="O24" s="77"/>
      <c r="P24" s="75"/>
    </row>
    <row r="25" spans="1:16" ht="14.25" customHeight="1" x14ac:dyDescent="0.3">
      <c r="A25" s="63">
        <v>3</v>
      </c>
      <c r="B25" s="64" t="s">
        <v>19</v>
      </c>
      <c r="C25" s="65"/>
      <c r="D25" s="66"/>
      <c r="E25" s="67"/>
      <c r="F25" s="82"/>
      <c r="G25" s="82"/>
      <c r="H25" s="82"/>
      <c r="I25" s="82"/>
      <c r="J25" s="82"/>
      <c r="K25" s="82"/>
      <c r="L25" s="82"/>
      <c r="M25" s="82"/>
      <c r="N25" s="69"/>
      <c r="O25" s="70"/>
      <c r="P25" s="68"/>
    </row>
    <row r="26" spans="1:16" ht="14.25" customHeight="1" x14ac:dyDescent="0.3">
      <c r="A26" s="13"/>
      <c r="B26" s="14" t="s">
        <v>57</v>
      </c>
      <c r="C26" s="15" t="s">
        <v>24</v>
      </c>
      <c r="D26" s="26">
        <f>1372.4+494</f>
        <v>1866.4</v>
      </c>
      <c r="E26" s="50" t="s">
        <v>52</v>
      </c>
      <c r="F26" s="19">
        <v>0</v>
      </c>
      <c r="G26" s="26">
        <f>45%*D26</f>
        <v>839.88000000000011</v>
      </c>
      <c r="H26" s="26">
        <f>SUM(F26:G26)</f>
        <v>839.88000000000011</v>
      </c>
      <c r="I26" s="19">
        <v>0</v>
      </c>
      <c r="J26" s="19">
        <v>12</v>
      </c>
      <c r="K26" s="19">
        <v>0</v>
      </c>
      <c r="L26" s="19">
        <v>0</v>
      </c>
      <c r="M26" s="19">
        <f>SUM(I26:L26)</f>
        <v>12</v>
      </c>
      <c r="N26" s="35"/>
      <c r="O26" s="43" t="s">
        <v>148</v>
      </c>
      <c r="P26" s="16"/>
    </row>
    <row r="27" spans="1:16" ht="14.25" customHeight="1" x14ac:dyDescent="0.3">
      <c r="A27" s="13"/>
      <c r="B27" s="14" t="s">
        <v>58</v>
      </c>
      <c r="C27" s="15" t="s">
        <v>25</v>
      </c>
      <c r="D27" s="26">
        <f>994.7+363.2</f>
        <v>1357.9</v>
      </c>
      <c r="E27" s="50" t="s">
        <v>52</v>
      </c>
      <c r="F27" s="19">
        <v>0</v>
      </c>
      <c r="G27" s="26">
        <f t="shared" ref="G27:G33" si="7">50%*D27</f>
        <v>678.95</v>
      </c>
      <c r="H27" s="26">
        <f t="shared" ref="H27:H51" si="8">SUM(F27:G27)</f>
        <v>678.95</v>
      </c>
      <c r="I27" s="19">
        <v>0</v>
      </c>
      <c r="J27" s="19">
        <v>2</v>
      </c>
      <c r="K27" s="19">
        <v>2</v>
      </c>
      <c r="L27" s="19">
        <v>0</v>
      </c>
      <c r="M27" s="19">
        <f t="shared" ref="M27:M51" si="9">SUM(I27:L27)</f>
        <v>4</v>
      </c>
      <c r="N27" s="35"/>
      <c r="O27" s="43" t="s">
        <v>149</v>
      </c>
      <c r="P27" s="16"/>
    </row>
    <row r="28" spans="1:16" ht="14.25" customHeight="1" x14ac:dyDescent="0.3">
      <c r="A28" s="13"/>
      <c r="B28" s="14" t="s">
        <v>59</v>
      </c>
      <c r="C28" s="15" t="s">
        <v>26</v>
      </c>
      <c r="D28" s="26">
        <f>976.5+338</f>
        <v>1314.5</v>
      </c>
      <c r="E28" s="50" t="s">
        <v>52</v>
      </c>
      <c r="F28" s="19">
        <v>0</v>
      </c>
      <c r="G28" s="26">
        <f t="shared" si="7"/>
        <v>657.25</v>
      </c>
      <c r="H28" s="26">
        <f t="shared" si="8"/>
        <v>657.25</v>
      </c>
      <c r="I28" s="19">
        <v>0</v>
      </c>
      <c r="J28" s="19">
        <v>3</v>
      </c>
      <c r="K28" s="19">
        <v>0</v>
      </c>
      <c r="L28" s="19">
        <v>0</v>
      </c>
      <c r="M28" s="19">
        <f t="shared" si="9"/>
        <v>3</v>
      </c>
      <c r="N28" s="35"/>
      <c r="O28" s="43" t="s">
        <v>150</v>
      </c>
      <c r="P28" s="16"/>
    </row>
    <row r="29" spans="1:16" ht="14.25" customHeight="1" x14ac:dyDescent="0.3">
      <c r="A29" s="13"/>
      <c r="B29" s="14" t="s">
        <v>60</v>
      </c>
      <c r="C29" s="15" t="s">
        <v>55</v>
      </c>
      <c r="D29" s="26">
        <f>291.6+46.93</f>
        <v>338.53000000000003</v>
      </c>
      <c r="E29" s="50" t="s">
        <v>52</v>
      </c>
      <c r="F29" s="19">
        <v>0</v>
      </c>
      <c r="G29" s="26">
        <f t="shared" si="7"/>
        <v>169.26500000000001</v>
      </c>
      <c r="H29" s="26">
        <f t="shared" si="8"/>
        <v>169.26500000000001</v>
      </c>
      <c r="I29" s="19">
        <v>0</v>
      </c>
      <c r="J29" s="19">
        <v>0</v>
      </c>
      <c r="K29" s="19">
        <v>0</v>
      </c>
      <c r="L29" s="19">
        <v>0</v>
      </c>
      <c r="M29" s="19">
        <f t="shared" si="9"/>
        <v>0</v>
      </c>
      <c r="N29" s="35"/>
      <c r="O29" s="43" t="s">
        <v>151</v>
      </c>
      <c r="P29" s="16"/>
    </row>
    <row r="30" spans="1:16" ht="14.25" customHeight="1" x14ac:dyDescent="0.3">
      <c r="A30" s="13"/>
      <c r="B30" s="14" t="s">
        <v>61</v>
      </c>
      <c r="C30" s="15" t="s">
        <v>27</v>
      </c>
      <c r="D30" s="26">
        <f>831.5+161.25</f>
        <v>992.75</v>
      </c>
      <c r="E30" s="50" t="s">
        <v>52</v>
      </c>
      <c r="F30" s="19">
        <v>0</v>
      </c>
      <c r="G30" s="26">
        <f t="shared" si="7"/>
        <v>496.375</v>
      </c>
      <c r="H30" s="26">
        <f t="shared" si="8"/>
        <v>496.375</v>
      </c>
      <c r="I30" s="19">
        <v>0</v>
      </c>
      <c r="J30" s="19">
        <v>0</v>
      </c>
      <c r="K30" s="19">
        <v>0</v>
      </c>
      <c r="L30" s="19">
        <v>0</v>
      </c>
      <c r="M30" s="19">
        <f t="shared" si="9"/>
        <v>0</v>
      </c>
      <c r="N30" s="35"/>
      <c r="O30" s="44" t="s">
        <v>162</v>
      </c>
      <c r="P30" s="16"/>
    </row>
    <row r="31" spans="1:16" ht="14.25" customHeight="1" x14ac:dyDescent="0.3">
      <c r="A31" s="13"/>
      <c r="B31" s="14" t="s">
        <v>62</v>
      </c>
      <c r="C31" s="15" t="s">
        <v>28</v>
      </c>
      <c r="D31" s="26">
        <f>868+618.6</f>
        <v>1486.6</v>
      </c>
      <c r="E31" s="50" t="s">
        <v>52</v>
      </c>
      <c r="F31" s="19">
        <v>0</v>
      </c>
      <c r="G31" s="26">
        <f t="shared" si="7"/>
        <v>743.3</v>
      </c>
      <c r="H31" s="26">
        <f t="shared" si="8"/>
        <v>743.3</v>
      </c>
      <c r="I31" s="19">
        <v>0</v>
      </c>
      <c r="J31" s="19">
        <v>0</v>
      </c>
      <c r="K31" s="19">
        <v>0</v>
      </c>
      <c r="L31" s="19">
        <v>0</v>
      </c>
      <c r="M31" s="19">
        <f t="shared" si="9"/>
        <v>0</v>
      </c>
      <c r="N31" s="35"/>
      <c r="O31" s="43" t="s">
        <v>152</v>
      </c>
      <c r="P31" s="16"/>
    </row>
    <row r="32" spans="1:16" ht="14.25" customHeight="1" x14ac:dyDescent="0.3">
      <c r="A32" s="13"/>
      <c r="B32" s="14" t="s">
        <v>63</v>
      </c>
      <c r="C32" s="15" t="s">
        <v>29</v>
      </c>
      <c r="D32" s="26">
        <f>1546+278.5</f>
        <v>1824.5</v>
      </c>
      <c r="E32" s="50" t="s">
        <v>52</v>
      </c>
      <c r="F32" s="19">
        <v>0</v>
      </c>
      <c r="G32" s="26">
        <f t="shared" si="7"/>
        <v>912.25</v>
      </c>
      <c r="H32" s="26">
        <f t="shared" si="8"/>
        <v>912.25</v>
      </c>
      <c r="I32" s="19">
        <v>0</v>
      </c>
      <c r="J32" s="19">
        <v>0</v>
      </c>
      <c r="K32" s="19">
        <v>0</v>
      </c>
      <c r="L32" s="19">
        <v>0</v>
      </c>
      <c r="M32" s="19">
        <f t="shared" si="9"/>
        <v>0</v>
      </c>
      <c r="N32" s="35"/>
      <c r="O32" s="43" t="s">
        <v>153</v>
      </c>
      <c r="P32" s="16"/>
    </row>
    <row r="33" spans="1:16" ht="14.25" customHeight="1" x14ac:dyDescent="0.3">
      <c r="A33" s="13"/>
      <c r="B33" s="14" t="s">
        <v>64</v>
      </c>
      <c r="C33" s="15" t="s">
        <v>56</v>
      </c>
      <c r="D33" s="26">
        <f>156.4+34.9</f>
        <v>191.3</v>
      </c>
      <c r="E33" s="50" t="s">
        <v>52</v>
      </c>
      <c r="F33" s="19">
        <v>0</v>
      </c>
      <c r="G33" s="26">
        <f t="shared" si="7"/>
        <v>95.65</v>
      </c>
      <c r="H33" s="26">
        <f t="shared" si="8"/>
        <v>95.65</v>
      </c>
      <c r="I33" s="19">
        <v>0</v>
      </c>
      <c r="J33" s="19">
        <v>6</v>
      </c>
      <c r="K33" s="19">
        <v>0</v>
      </c>
      <c r="L33" s="19">
        <v>0</v>
      </c>
      <c r="M33" s="19">
        <f t="shared" si="9"/>
        <v>6</v>
      </c>
      <c r="N33" s="35"/>
      <c r="O33" s="43" t="s">
        <v>154</v>
      </c>
      <c r="P33" s="16"/>
    </row>
    <row r="34" spans="1:16" ht="14.25" customHeight="1" x14ac:dyDescent="0.3">
      <c r="A34" s="13"/>
      <c r="B34" s="14" t="s">
        <v>65</v>
      </c>
      <c r="C34" s="15" t="s">
        <v>30</v>
      </c>
      <c r="D34" s="26">
        <f>1499.7+565.1</f>
        <v>2064.8000000000002</v>
      </c>
      <c r="E34" s="50" t="s">
        <v>52</v>
      </c>
      <c r="F34" s="19">
        <v>0</v>
      </c>
      <c r="G34" s="26">
        <f>30%*D34</f>
        <v>619.44000000000005</v>
      </c>
      <c r="H34" s="26">
        <f t="shared" si="8"/>
        <v>619.44000000000005</v>
      </c>
      <c r="I34" s="19">
        <v>0</v>
      </c>
      <c r="J34" s="19">
        <v>0</v>
      </c>
      <c r="K34" s="19">
        <v>0</v>
      </c>
      <c r="L34" s="19">
        <v>0</v>
      </c>
      <c r="M34" s="19">
        <f t="shared" si="9"/>
        <v>0</v>
      </c>
      <c r="N34" s="35"/>
      <c r="O34" s="43" t="s">
        <v>155</v>
      </c>
      <c r="P34" s="16"/>
    </row>
    <row r="35" spans="1:16" ht="14.25" customHeight="1" x14ac:dyDescent="0.3">
      <c r="A35" s="13"/>
      <c r="B35" s="14" t="s">
        <v>66</v>
      </c>
      <c r="C35" s="15" t="s">
        <v>31</v>
      </c>
      <c r="D35" s="26">
        <f>1207+389</f>
        <v>1596</v>
      </c>
      <c r="E35" s="50" t="s">
        <v>52</v>
      </c>
      <c r="F35" s="19">
        <v>0</v>
      </c>
      <c r="G35" s="26">
        <f>50%*D35</f>
        <v>798</v>
      </c>
      <c r="H35" s="26">
        <f t="shared" si="8"/>
        <v>798</v>
      </c>
      <c r="I35" s="19">
        <v>0</v>
      </c>
      <c r="J35" s="19">
        <v>0</v>
      </c>
      <c r="K35" s="19">
        <v>0</v>
      </c>
      <c r="L35" s="19">
        <v>0</v>
      </c>
      <c r="M35" s="19">
        <f t="shared" si="9"/>
        <v>0</v>
      </c>
      <c r="N35" s="35"/>
      <c r="O35" s="43" t="s">
        <v>156</v>
      </c>
      <c r="P35" s="16"/>
    </row>
    <row r="36" spans="1:16" ht="14.25" customHeight="1" x14ac:dyDescent="0.3">
      <c r="A36" s="13"/>
      <c r="B36" s="14" t="s">
        <v>67</v>
      </c>
      <c r="C36" s="15" t="s">
        <v>32</v>
      </c>
      <c r="D36" s="26">
        <f>998.9+79.5</f>
        <v>1078.4000000000001</v>
      </c>
      <c r="E36" s="50" t="s">
        <v>52</v>
      </c>
      <c r="F36" s="19">
        <v>0</v>
      </c>
      <c r="G36" s="26">
        <f t="shared" ref="G36:G51" si="10">30%*D36</f>
        <v>323.52000000000004</v>
      </c>
      <c r="H36" s="26">
        <f t="shared" si="8"/>
        <v>323.52000000000004</v>
      </c>
      <c r="I36" s="19">
        <v>0</v>
      </c>
      <c r="J36" s="19">
        <v>0</v>
      </c>
      <c r="K36" s="19">
        <v>0</v>
      </c>
      <c r="L36" s="19">
        <v>0</v>
      </c>
      <c r="M36" s="19">
        <f t="shared" si="9"/>
        <v>0</v>
      </c>
      <c r="N36" s="35"/>
      <c r="O36" s="43" t="s">
        <v>157</v>
      </c>
      <c r="P36" s="16"/>
    </row>
    <row r="37" spans="1:16" ht="14.25" customHeight="1" x14ac:dyDescent="0.3">
      <c r="A37" s="13"/>
      <c r="B37" s="14" t="s">
        <v>68</v>
      </c>
      <c r="C37" s="15" t="s">
        <v>33</v>
      </c>
      <c r="D37" s="26">
        <f>1304+57.5</f>
        <v>1361.5</v>
      </c>
      <c r="E37" s="50" t="s">
        <v>52</v>
      </c>
      <c r="F37" s="19">
        <v>0</v>
      </c>
      <c r="G37" s="26">
        <f t="shared" si="10"/>
        <v>408.45</v>
      </c>
      <c r="H37" s="26">
        <f t="shared" si="8"/>
        <v>408.45</v>
      </c>
      <c r="I37" s="19">
        <v>0</v>
      </c>
      <c r="J37" s="19">
        <v>0</v>
      </c>
      <c r="K37" s="19">
        <v>0</v>
      </c>
      <c r="L37" s="19">
        <v>0</v>
      </c>
      <c r="M37" s="19">
        <f t="shared" si="9"/>
        <v>0</v>
      </c>
      <c r="N37" s="35"/>
      <c r="O37" s="43" t="s">
        <v>158</v>
      </c>
      <c r="P37" s="16"/>
    </row>
    <row r="38" spans="1:16" ht="14.25" customHeight="1" x14ac:dyDescent="0.3">
      <c r="A38" s="13"/>
      <c r="B38" s="14" t="s">
        <v>69</v>
      </c>
      <c r="C38" s="15" t="s">
        <v>34</v>
      </c>
      <c r="D38" s="26">
        <f>1784.1+362</f>
        <v>2146.1</v>
      </c>
      <c r="E38" s="50" t="s">
        <v>52</v>
      </c>
      <c r="F38" s="19">
        <v>0</v>
      </c>
      <c r="G38" s="26">
        <f t="shared" si="10"/>
        <v>643.82999999999993</v>
      </c>
      <c r="H38" s="26">
        <f t="shared" si="8"/>
        <v>643.82999999999993</v>
      </c>
      <c r="I38" s="19">
        <v>0</v>
      </c>
      <c r="J38" s="19">
        <v>4</v>
      </c>
      <c r="K38" s="19">
        <v>6</v>
      </c>
      <c r="L38" s="19">
        <v>0</v>
      </c>
      <c r="M38" s="19">
        <f t="shared" si="9"/>
        <v>10</v>
      </c>
      <c r="N38" s="35"/>
      <c r="O38" s="43" t="s">
        <v>159</v>
      </c>
      <c r="P38" s="16"/>
    </row>
    <row r="39" spans="1:16" ht="14.25" customHeight="1" x14ac:dyDescent="0.3">
      <c r="A39" s="13"/>
      <c r="B39" s="14" t="s">
        <v>70</v>
      </c>
      <c r="C39" s="15" t="s">
        <v>35</v>
      </c>
      <c r="D39" s="26">
        <f>1557+181.5</f>
        <v>1738.5</v>
      </c>
      <c r="E39" s="50" t="s">
        <v>52</v>
      </c>
      <c r="F39" s="19">
        <v>0</v>
      </c>
      <c r="G39" s="26">
        <f t="shared" si="10"/>
        <v>521.54999999999995</v>
      </c>
      <c r="H39" s="26">
        <f t="shared" si="8"/>
        <v>521.54999999999995</v>
      </c>
      <c r="I39" s="19">
        <v>0</v>
      </c>
      <c r="J39" s="19">
        <v>0</v>
      </c>
      <c r="K39" s="19">
        <v>0</v>
      </c>
      <c r="L39" s="19">
        <v>0</v>
      </c>
      <c r="M39" s="19">
        <f t="shared" si="9"/>
        <v>0</v>
      </c>
      <c r="N39" s="35"/>
      <c r="O39" s="43" t="s">
        <v>160</v>
      </c>
      <c r="P39" s="16"/>
    </row>
    <row r="40" spans="1:16" ht="14.25" customHeight="1" x14ac:dyDescent="0.3">
      <c r="A40" s="13"/>
      <c r="B40" s="14" t="s">
        <v>71</v>
      </c>
      <c r="C40" s="15" t="s">
        <v>21</v>
      </c>
      <c r="D40" s="26">
        <f>1940+114</f>
        <v>2054</v>
      </c>
      <c r="E40" s="50" t="s">
        <v>52</v>
      </c>
      <c r="F40" s="19">
        <v>0</v>
      </c>
      <c r="G40" s="26">
        <f t="shared" si="10"/>
        <v>616.19999999999993</v>
      </c>
      <c r="H40" s="26">
        <f t="shared" si="8"/>
        <v>616.19999999999993</v>
      </c>
      <c r="I40" s="19">
        <v>0</v>
      </c>
      <c r="J40" s="19">
        <v>0</v>
      </c>
      <c r="K40" s="19">
        <v>0</v>
      </c>
      <c r="L40" s="19">
        <v>0</v>
      </c>
      <c r="M40" s="19">
        <f t="shared" si="9"/>
        <v>0</v>
      </c>
      <c r="N40" s="35"/>
      <c r="O40" s="43" t="s">
        <v>161</v>
      </c>
      <c r="P40" s="16"/>
    </row>
    <row r="41" spans="1:16" ht="14.25" customHeight="1" x14ac:dyDescent="0.3">
      <c r="A41" s="13"/>
      <c r="B41" s="14" t="s">
        <v>72</v>
      </c>
      <c r="C41" s="15" t="s">
        <v>42</v>
      </c>
      <c r="D41" s="26">
        <f>773.1+303.8</f>
        <v>1076.9000000000001</v>
      </c>
      <c r="E41" s="50" t="s">
        <v>52</v>
      </c>
      <c r="F41" s="19">
        <v>0</v>
      </c>
      <c r="G41" s="26">
        <f t="shared" si="10"/>
        <v>323.07</v>
      </c>
      <c r="H41" s="26">
        <f t="shared" si="8"/>
        <v>323.07</v>
      </c>
      <c r="I41" s="19">
        <v>0</v>
      </c>
      <c r="J41" s="19">
        <v>0</v>
      </c>
      <c r="K41" s="19">
        <v>0</v>
      </c>
      <c r="L41" s="19">
        <v>0</v>
      </c>
      <c r="M41" s="19">
        <f t="shared" si="9"/>
        <v>0</v>
      </c>
      <c r="N41" s="35"/>
      <c r="O41" s="36"/>
      <c r="P41" s="16"/>
    </row>
    <row r="42" spans="1:16" ht="14.25" customHeight="1" x14ac:dyDescent="0.3">
      <c r="A42" s="13"/>
      <c r="B42" s="14" t="s">
        <v>73</v>
      </c>
      <c r="C42" s="15" t="s">
        <v>105</v>
      </c>
      <c r="D42" s="26">
        <f>153.8+8.7</f>
        <v>162.5</v>
      </c>
      <c r="E42" s="50" t="s">
        <v>52</v>
      </c>
      <c r="F42" s="19">
        <v>0</v>
      </c>
      <c r="G42" s="26">
        <f t="shared" si="10"/>
        <v>48.75</v>
      </c>
      <c r="H42" s="26">
        <f t="shared" si="8"/>
        <v>48.75</v>
      </c>
      <c r="I42" s="19">
        <v>0</v>
      </c>
      <c r="J42" s="19">
        <v>0</v>
      </c>
      <c r="K42" s="19">
        <v>0</v>
      </c>
      <c r="L42" s="19">
        <v>0</v>
      </c>
      <c r="M42" s="19">
        <f t="shared" si="9"/>
        <v>0</v>
      </c>
      <c r="N42" s="35"/>
      <c r="O42" s="36"/>
      <c r="P42" s="16"/>
    </row>
    <row r="43" spans="1:16" ht="14.25" customHeight="1" x14ac:dyDescent="0.3">
      <c r="A43" s="13"/>
      <c r="B43" s="14" t="s">
        <v>74</v>
      </c>
      <c r="C43" s="15" t="s">
        <v>110</v>
      </c>
      <c r="D43" s="26">
        <f>695+48.2</f>
        <v>743.2</v>
      </c>
      <c r="E43" s="50" t="s">
        <v>52</v>
      </c>
      <c r="F43" s="19">
        <v>0</v>
      </c>
      <c r="G43" s="26">
        <f t="shared" si="10"/>
        <v>222.96</v>
      </c>
      <c r="H43" s="26">
        <f t="shared" si="8"/>
        <v>222.96</v>
      </c>
      <c r="I43" s="19">
        <v>0</v>
      </c>
      <c r="J43" s="19">
        <v>0</v>
      </c>
      <c r="K43" s="19">
        <v>0</v>
      </c>
      <c r="L43" s="19">
        <v>0</v>
      </c>
      <c r="M43" s="19">
        <f t="shared" si="9"/>
        <v>0</v>
      </c>
      <c r="N43" s="35"/>
      <c r="O43" s="36"/>
      <c r="P43" s="16"/>
    </row>
    <row r="44" spans="1:16" ht="14.25" customHeight="1" x14ac:dyDescent="0.3">
      <c r="A44" s="13"/>
      <c r="B44" s="14" t="s">
        <v>75</v>
      </c>
      <c r="C44" s="15" t="s">
        <v>112</v>
      </c>
      <c r="D44" s="26">
        <f>375+14</f>
        <v>389</v>
      </c>
      <c r="E44" s="50" t="s">
        <v>52</v>
      </c>
      <c r="F44" s="19">
        <v>0</v>
      </c>
      <c r="G44" s="26">
        <f t="shared" si="10"/>
        <v>116.69999999999999</v>
      </c>
      <c r="H44" s="26">
        <f t="shared" si="8"/>
        <v>116.69999999999999</v>
      </c>
      <c r="I44" s="19">
        <v>0</v>
      </c>
      <c r="J44" s="19">
        <v>0</v>
      </c>
      <c r="K44" s="19">
        <v>0</v>
      </c>
      <c r="L44" s="19">
        <v>0</v>
      </c>
      <c r="M44" s="19">
        <f t="shared" si="9"/>
        <v>0</v>
      </c>
      <c r="N44" s="35"/>
      <c r="O44" s="36"/>
      <c r="P44" s="16"/>
    </row>
    <row r="45" spans="1:16" ht="14.25" customHeight="1" x14ac:dyDescent="0.3">
      <c r="A45" s="13"/>
      <c r="B45" s="14" t="s">
        <v>104</v>
      </c>
      <c r="C45" s="15" t="s">
        <v>114</v>
      </c>
      <c r="D45" s="26">
        <f>73.5</f>
        <v>73.5</v>
      </c>
      <c r="E45" s="50" t="s">
        <v>52</v>
      </c>
      <c r="F45" s="19">
        <v>0</v>
      </c>
      <c r="G45" s="26">
        <f t="shared" si="10"/>
        <v>22.05</v>
      </c>
      <c r="H45" s="26">
        <f t="shared" si="8"/>
        <v>22.05</v>
      </c>
      <c r="I45" s="19">
        <v>0</v>
      </c>
      <c r="J45" s="19">
        <v>0</v>
      </c>
      <c r="K45" s="19">
        <v>0</v>
      </c>
      <c r="L45" s="19">
        <v>0</v>
      </c>
      <c r="M45" s="19">
        <f t="shared" si="9"/>
        <v>0</v>
      </c>
      <c r="N45" s="35"/>
      <c r="O45" s="36"/>
      <c r="P45" s="16"/>
    </row>
    <row r="46" spans="1:16" ht="14.25" customHeight="1" x14ac:dyDescent="0.3">
      <c r="A46" s="13"/>
      <c r="B46" s="14" t="s">
        <v>106</v>
      </c>
      <c r="C46" s="15" t="s">
        <v>22</v>
      </c>
      <c r="D46" s="26">
        <f>1130+101</f>
        <v>1231</v>
      </c>
      <c r="E46" s="50" t="s">
        <v>52</v>
      </c>
      <c r="F46" s="19">
        <v>0</v>
      </c>
      <c r="G46" s="26">
        <f t="shared" si="10"/>
        <v>369.3</v>
      </c>
      <c r="H46" s="26">
        <f t="shared" si="8"/>
        <v>369.3</v>
      </c>
      <c r="I46" s="19">
        <v>0</v>
      </c>
      <c r="J46" s="19">
        <v>0</v>
      </c>
      <c r="K46" s="19">
        <v>0</v>
      </c>
      <c r="L46" s="19">
        <v>0</v>
      </c>
      <c r="M46" s="19">
        <f t="shared" si="9"/>
        <v>0</v>
      </c>
      <c r="N46" s="35"/>
      <c r="O46" s="36"/>
      <c r="P46" s="16"/>
    </row>
    <row r="47" spans="1:16" ht="14.25" customHeight="1" x14ac:dyDescent="0.3">
      <c r="A47" s="13"/>
      <c r="B47" s="14" t="s">
        <v>108</v>
      </c>
      <c r="C47" s="15" t="s">
        <v>180</v>
      </c>
      <c r="D47" s="26">
        <f>134.8+5</f>
        <v>139.80000000000001</v>
      </c>
      <c r="E47" s="47" t="s">
        <v>52</v>
      </c>
      <c r="F47" s="19">
        <v>0</v>
      </c>
      <c r="G47" s="26">
        <f t="shared" si="10"/>
        <v>41.940000000000005</v>
      </c>
      <c r="H47" s="26">
        <f t="shared" si="8"/>
        <v>41.940000000000005</v>
      </c>
      <c r="I47" s="19">
        <v>0</v>
      </c>
      <c r="J47" s="19">
        <v>0</v>
      </c>
      <c r="K47" s="19">
        <v>0</v>
      </c>
      <c r="L47" s="19">
        <v>0</v>
      </c>
      <c r="M47" s="19">
        <f t="shared" si="9"/>
        <v>0</v>
      </c>
      <c r="N47" s="35"/>
      <c r="O47" s="36"/>
      <c r="P47" s="16"/>
    </row>
    <row r="48" spans="1:16" ht="14.25" customHeight="1" x14ac:dyDescent="0.3">
      <c r="A48" s="13"/>
      <c r="B48" s="14" t="s">
        <v>109</v>
      </c>
      <c r="C48" s="15" t="s">
        <v>43</v>
      </c>
      <c r="D48" s="26">
        <f>1189+216.6</f>
        <v>1405.6</v>
      </c>
      <c r="E48" s="50" t="s">
        <v>52</v>
      </c>
      <c r="F48" s="19">
        <v>0</v>
      </c>
      <c r="G48" s="26">
        <f t="shared" si="10"/>
        <v>421.67999999999995</v>
      </c>
      <c r="H48" s="26">
        <f t="shared" si="8"/>
        <v>421.67999999999995</v>
      </c>
      <c r="I48" s="19">
        <v>0</v>
      </c>
      <c r="J48" s="19">
        <v>0</v>
      </c>
      <c r="K48" s="19">
        <v>0</v>
      </c>
      <c r="L48" s="19">
        <v>0</v>
      </c>
      <c r="M48" s="19">
        <f t="shared" si="9"/>
        <v>0</v>
      </c>
      <c r="N48" s="35"/>
      <c r="O48" s="36"/>
      <c r="P48" s="16"/>
    </row>
    <row r="49" spans="1:16" ht="14.25" customHeight="1" x14ac:dyDescent="0.3">
      <c r="A49" s="13"/>
      <c r="B49" s="55" t="s">
        <v>111</v>
      </c>
      <c r="C49" s="56" t="s">
        <v>44</v>
      </c>
      <c r="D49" s="57">
        <f>1396.6+127</f>
        <v>1523.6</v>
      </c>
      <c r="E49" s="78" t="s">
        <v>52</v>
      </c>
      <c r="F49" s="19">
        <v>0</v>
      </c>
      <c r="G49" s="26">
        <f t="shared" si="10"/>
        <v>457.08</v>
      </c>
      <c r="H49" s="26">
        <f t="shared" si="8"/>
        <v>457.08</v>
      </c>
      <c r="I49" s="19">
        <v>0</v>
      </c>
      <c r="J49" s="19">
        <v>0</v>
      </c>
      <c r="K49" s="19">
        <v>0</v>
      </c>
      <c r="L49" s="19">
        <v>0</v>
      </c>
      <c r="M49" s="19">
        <f t="shared" si="9"/>
        <v>0</v>
      </c>
      <c r="N49" s="35"/>
      <c r="O49" s="36"/>
      <c r="P49" s="16"/>
    </row>
    <row r="50" spans="1:16" ht="14.25" customHeight="1" x14ac:dyDescent="0.3">
      <c r="A50" s="13"/>
      <c r="B50" s="14" t="s">
        <v>74</v>
      </c>
      <c r="C50" s="15" t="s">
        <v>43</v>
      </c>
      <c r="D50" s="26">
        <v>1189</v>
      </c>
      <c r="E50" s="50" t="s">
        <v>52</v>
      </c>
      <c r="F50" s="19">
        <v>0</v>
      </c>
      <c r="G50" s="26">
        <f t="shared" si="10"/>
        <v>356.7</v>
      </c>
      <c r="H50" s="26">
        <f t="shared" si="8"/>
        <v>356.7</v>
      </c>
      <c r="I50" s="19">
        <v>0</v>
      </c>
      <c r="J50" s="19">
        <v>0</v>
      </c>
      <c r="K50" s="19">
        <v>0</v>
      </c>
      <c r="L50" s="19">
        <v>0</v>
      </c>
      <c r="M50" s="19">
        <f t="shared" si="9"/>
        <v>0</v>
      </c>
      <c r="N50" s="35"/>
      <c r="O50" s="36"/>
      <c r="P50" s="16"/>
    </row>
    <row r="51" spans="1:16" ht="14.25" customHeight="1" x14ac:dyDescent="0.3">
      <c r="A51" s="54"/>
      <c r="B51" s="55" t="s">
        <v>75</v>
      </c>
      <c r="C51" s="56" t="s">
        <v>44</v>
      </c>
      <c r="D51" s="57">
        <v>1391</v>
      </c>
      <c r="E51" s="78" t="s">
        <v>52</v>
      </c>
      <c r="F51" s="19">
        <v>0</v>
      </c>
      <c r="G51" s="26">
        <f t="shared" si="10"/>
        <v>417.3</v>
      </c>
      <c r="H51" s="26">
        <f t="shared" si="8"/>
        <v>417.3</v>
      </c>
      <c r="I51" s="19">
        <v>0</v>
      </c>
      <c r="J51" s="19">
        <v>6</v>
      </c>
      <c r="K51" s="19">
        <v>1</v>
      </c>
      <c r="L51" s="19">
        <v>0</v>
      </c>
      <c r="M51" s="19">
        <f t="shared" si="9"/>
        <v>7</v>
      </c>
      <c r="N51" s="80"/>
      <c r="O51" s="81"/>
      <c r="P51" s="87"/>
    </row>
    <row r="52" spans="1:16" ht="14.25" customHeight="1" x14ac:dyDescent="0.3">
      <c r="A52" s="89"/>
      <c r="B52" s="71"/>
      <c r="C52" s="72"/>
      <c r="D52" s="84">
        <f>SUM(D26:D51)</f>
        <v>30736.879999999997</v>
      </c>
      <c r="E52" s="74"/>
      <c r="F52" s="83">
        <f t="shared" ref="F52:M52" si="11">SUM(F26:F51)</f>
        <v>0</v>
      </c>
      <c r="G52" s="83">
        <f t="shared" si="11"/>
        <v>11321.439999999999</v>
      </c>
      <c r="H52" s="83">
        <f t="shared" si="11"/>
        <v>11321.439999999999</v>
      </c>
      <c r="I52" s="83">
        <f t="shared" si="11"/>
        <v>0</v>
      </c>
      <c r="J52" s="83">
        <f t="shared" si="11"/>
        <v>33</v>
      </c>
      <c r="K52" s="83">
        <f t="shared" si="11"/>
        <v>9</v>
      </c>
      <c r="L52" s="83">
        <f t="shared" si="11"/>
        <v>0</v>
      </c>
      <c r="M52" s="83">
        <f t="shared" si="11"/>
        <v>42</v>
      </c>
      <c r="N52" s="76"/>
      <c r="O52" s="77"/>
      <c r="P52" s="75"/>
    </row>
    <row r="53" spans="1:16" ht="14.25" customHeight="1" x14ac:dyDescent="0.3">
      <c r="A53" s="63">
        <v>4</v>
      </c>
      <c r="B53" s="64" t="s">
        <v>46</v>
      </c>
      <c r="C53" s="65"/>
      <c r="D53" s="66"/>
      <c r="E53" s="67"/>
      <c r="F53" s="82"/>
      <c r="G53" s="82"/>
      <c r="H53" s="82"/>
      <c r="I53" s="82"/>
      <c r="J53" s="82"/>
      <c r="K53" s="82"/>
      <c r="L53" s="82"/>
      <c r="M53" s="82"/>
      <c r="N53" s="69"/>
      <c r="O53" s="70"/>
      <c r="P53" s="68"/>
    </row>
    <row r="54" spans="1:16" ht="28.5" customHeight="1" x14ac:dyDescent="0.3">
      <c r="A54" s="102"/>
      <c r="B54" s="98" t="s">
        <v>57</v>
      </c>
      <c r="C54" s="99" t="s">
        <v>29</v>
      </c>
      <c r="D54" s="96">
        <v>175</v>
      </c>
      <c r="E54" s="101" t="s">
        <v>184</v>
      </c>
      <c r="F54" s="96">
        <f>10%*D54</f>
        <v>17.5</v>
      </c>
      <c r="G54" s="97">
        <v>0</v>
      </c>
      <c r="H54" s="96">
        <f t="shared" ref="H54:H60" si="12">SUM(F54:G54)</f>
        <v>17.5</v>
      </c>
      <c r="I54" s="97">
        <v>0</v>
      </c>
      <c r="J54" s="97">
        <v>2</v>
      </c>
      <c r="K54" s="97">
        <v>0</v>
      </c>
      <c r="L54" s="97">
        <v>0</v>
      </c>
      <c r="M54" s="97">
        <f t="shared" ref="M54:M60" si="13">SUM(I54:L54)</f>
        <v>2</v>
      </c>
      <c r="N54" s="35"/>
      <c r="O54" s="36" t="s">
        <v>93</v>
      </c>
      <c r="P54" s="16"/>
    </row>
    <row r="55" spans="1:16" ht="14.25" customHeight="1" x14ac:dyDescent="0.3">
      <c r="A55" s="13"/>
      <c r="B55" s="14" t="s">
        <v>58</v>
      </c>
      <c r="C55" s="15" t="s">
        <v>33</v>
      </c>
      <c r="D55" s="26">
        <v>270</v>
      </c>
      <c r="E55" s="47" t="s">
        <v>185</v>
      </c>
      <c r="F55" s="26">
        <f>10%*D55</f>
        <v>27</v>
      </c>
      <c r="G55" s="19">
        <v>0</v>
      </c>
      <c r="H55" s="26">
        <f t="shared" si="12"/>
        <v>27</v>
      </c>
      <c r="I55" s="19">
        <v>0</v>
      </c>
      <c r="J55" s="19"/>
      <c r="K55" s="19">
        <v>0</v>
      </c>
      <c r="L55" s="19">
        <v>0</v>
      </c>
      <c r="M55" s="19">
        <f t="shared" si="13"/>
        <v>0</v>
      </c>
      <c r="N55" s="35"/>
      <c r="O55" s="36"/>
      <c r="P55" s="16"/>
    </row>
    <row r="56" spans="1:16" ht="24" customHeight="1" x14ac:dyDescent="0.3">
      <c r="A56" s="13"/>
      <c r="B56" s="98" t="s">
        <v>59</v>
      </c>
      <c r="C56" s="99" t="s">
        <v>42</v>
      </c>
      <c r="D56" s="96">
        <v>798.93</v>
      </c>
      <c r="E56" s="101" t="s">
        <v>184</v>
      </c>
      <c r="F56" s="96">
        <f>10%*D56</f>
        <v>79.893000000000001</v>
      </c>
      <c r="G56" s="97">
        <v>0</v>
      </c>
      <c r="H56" s="96">
        <f t="shared" si="12"/>
        <v>79.893000000000001</v>
      </c>
      <c r="I56" s="97">
        <v>0</v>
      </c>
      <c r="J56" s="97"/>
      <c r="K56" s="97">
        <v>0</v>
      </c>
      <c r="L56" s="97">
        <v>0</v>
      </c>
      <c r="M56" s="97">
        <f t="shared" si="13"/>
        <v>0</v>
      </c>
      <c r="N56" s="35"/>
      <c r="O56" s="36"/>
      <c r="P56" s="16"/>
    </row>
    <row r="57" spans="1:16" ht="28.5" customHeight="1" x14ac:dyDescent="0.3">
      <c r="A57" s="13"/>
      <c r="B57" s="98" t="s">
        <v>60</v>
      </c>
      <c r="C57" s="99" t="s">
        <v>21</v>
      </c>
      <c r="D57" s="96">
        <v>1086.55</v>
      </c>
      <c r="E57" s="101" t="s">
        <v>186</v>
      </c>
      <c r="F57" s="96">
        <f>16%*D57</f>
        <v>173.84799999999998</v>
      </c>
      <c r="G57" s="97">
        <v>0</v>
      </c>
      <c r="H57" s="96">
        <f t="shared" si="12"/>
        <v>173.84799999999998</v>
      </c>
      <c r="I57" s="97">
        <v>0</v>
      </c>
      <c r="J57" s="97">
        <v>3</v>
      </c>
      <c r="K57" s="97">
        <v>3</v>
      </c>
      <c r="L57" s="97">
        <v>0</v>
      </c>
      <c r="M57" s="97">
        <f t="shared" si="13"/>
        <v>6</v>
      </c>
      <c r="N57" s="35"/>
      <c r="O57" s="36"/>
      <c r="P57" s="16"/>
    </row>
    <row r="58" spans="1:16" ht="17.25" customHeight="1" x14ac:dyDescent="0.3">
      <c r="A58" s="13"/>
      <c r="B58" s="98"/>
      <c r="C58" s="99"/>
      <c r="D58" s="96"/>
      <c r="E58" s="100" t="s">
        <v>185</v>
      </c>
      <c r="F58" s="96">
        <v>65</v>
      </c>
      <c r="G58" s="97">
        <v>0</v>
      </c>
      <c r="H58" s="96">
        <f t="shared" si="12"/>
        <v>65</v>
      </c>
      <c r="I58" s="97">
        <v>0</v>
      </c>
      <c r="J58" s="97"/>
      <c r="K58" s="97">
        <v>0</v>
      </c>
      <c r="L58" s="97">
        <v>0</v>
      </c>
      <c r="M58" s="97">
        <f t="shared" si="13"/>
        <v>0</v>
      </c>
      <c r="N58" s="35"/>
      <c r="O58" s="36"/>
      <c r="P58" s="16"/>
    </row>
    <row r="59" spans="1:16" ht="14.25" customHeight="1" x14ac:dyDescent="0.3">
      <c r="A59" s="16"/>
      <c r="B59" s="14" t="s">
        <v>61</v>
      </c>
      <c r="C59" s="15" t="s">
        <v>22</v>
      </c>
      <c r="D59" s="26">
        <v>1084.55</v>
      </c>
      <c r="E59" s="47" t="s">
        <v>134</v>
      </c>
      <c r="F59" s="26">
        <f>10%*D59</f>
        <v>108.455</v>
      </c>
      <c r="G59" s="19">
        <v>0</v>
      </c>
      <c r="H59" s="26">
        <f t="shared" si="12"/>
        <v>108.455</v>
      </c>
      <c r="I59" s="19">
        <v>0</v>
      </c>
      <c r="J59" s="19">
        <v>3</v>
      </c>
      <c r="K59" s="19">
        <v>3</v>
      </c>
      <c r="L59" s="19">
        <v>0</v>
      </c>
      <c r="M59" s="19">
        <f t="shared" si="13"/>
        <v>6</v>
      </c>
      <c r="N59" s="35"/>
      <c r="O59" s="36"/>
      <c r="P59" s="16"/>
    </row>
    <row r="60" spans="1:16" ht="14.25" customHeight="1" x14ac:dyDescent="0.3">
      <c r="A60" s="87"/>
      <c r="B60" s="55" t="s">
        <v>62</v>
      </c>
      <c r="C60" s="56" t="s">
        <v>43</v>
      </c>
      <c r="D60" s="57">
        <v>33</v>
      </c>
      <c r="E60" s="47" t="s">
        <v>53</v>
      </c>
      <c r="F60" s="26">
        <f>14%*D60</f>
        <v>4.62</v>
      </c>
      <c r="G60" s="19">
        <v>0</v>
      </c>
      <c r="H60" s="26">
        <f t="shared" si="12"/>
        <v>4.62</v>
      </c>
      <c r="I60" s="19">
        <v>0</v>
      </c>
      <c r="J60" s="19">
        <v>4</v>
      </c>
      <c r="K60" s="19">
        <v>0</v>
      </c>
      <c r="L60" s="19">
        <v>0</v>
      </c>
      <c r="M60" s="19">
        <f t="shared" si="13"/>
        <v>4</v>
      </c>
      <c r="N60" s="80"/>
      <c r="O60" s="81"/>
      <c r="P60" s="87"/>
    </row>
    <row r="61" spans="1:16" ht="14.25" customHeight="1" x14ac:dyDescent="0.3">
      <c r="A61" s="75"/>
      <c r="B61" s="71"/>
      <c r="C61" s="72"/>
      <c r="D61" s="73">
        <f>SUM(D54:D60)</f>
        <v>3448.0299999999997</v>
      </c>
      <c r="E61" s="74"/>
      <c r="F61" s="73">
        <f t="shared" ref="F61:K61" si="14">SUM(F54:F60)</f>
        <v>476.31599999999997</v>
      </c>
      <c r="G61" s="83">
        <f t="shared" si="14"/>
        <v>0</v>
      </c>
      <c r="H61" s="73">
        <f t="shared" si="14"/>
        <v>476.31599999999997</v>
      </c>
      <c r="I61" s="83">
        <f t="shared" si="14"/>
        <v>0</v>
      </c>
      <c r="J61" s="83">
        <f t="shared" si="14"/>
        <v>12</v>
      </c>
      <c r="K61" s="83">
        <f t="shared" si="14"/>
        <v>6</v>
      </c>
      <c r="L61" s="83"/>
      <c r="M61" s="83">
        <f>SUM(M54:M60)</f>
        <v>18</v>
      </c>
      <c r="N61" s="76"/>
      <c r="O61" s="77"/>
      <c r="P61" s="75"/>
    </row>
    <row r="62" spans="1:16" ht="14.25" customHeight="1" x14ac:dyDescent="0.3">
      <c r="A62" s="63">
        <v>5</v>
      </c>
      <c r="B62" s="64" t="s">
        <v>96</v>
      </c>
      <c r="C62" s="65"/>
      <c r="D62" s="66"/>
      <c r="E62" s="67"/>
      <c r="F62" s="66"/>
      <c r="G62" s="82"/>
      <c r="H62" s="66"/>
      <c r="I62" s="82"/>
      <c r="J62" s="82"/>
      <c r="K62" s="82"/>
      <c r="L62" s="82"/>
      <c r="M62" s="82"/>
      <c r="N62" s="69"/>
      <c r="O62" s="70"/>
      <c r="P62" s="68"/>
    </row>
    <row r="63" spans="1:16" ht="14.25" customHeight="1" x14ac:dyDescent="0.3">
      <c r="A63" s="16"/>
      <c r="B63" s="14" t="s">
        <v>57</v>
      </c>
      <c r="C63" s="15" t="s">
        <v>22</v>
      </c>
      <c r="D63" s="26">
        <v>9.5</v>
      </c>
      <c r="E63" s="47" t="s">
        <v>163</v>
      </c>
      <c r="F63" s="26">
        <f>10%*D63</f>
        <v>0.95000000000000007</v>
      </c>
      <c r="G63" s="19">
        <v>0</v>
      </c>
      <c r="H63" s="26">
        <f t="shared" ref="H63:H71" si="15">SUM(F63:G63)</f>
        <v>0.95000000000000007</v>
      </c>
      <c r="I63" s="19">
        <v>0</v>
      </c>
      <c r="J63" s="19"/>
      <c r="K63" s="19">
        <v>0</v>
      </c>
      <c r="L63" s="19">
        <v>0</v>
      </c>
      <c r="M63" s="19">
        <f>SUM(I63:L63)</f>
        <v>0</v>
      </c>
      <c r="N63" s="35"/>
      <c r="O63" s="36" t="s">
        <v>136</v>
      </c>
      <c r="P63" s="16"/>
    </row>
    <row r="64" spans="1:16" ht="14.25" customHeight="1" x14ac:dyDescent="0.3">
      <c r="A64" s="16"/>
      <c r="B64" s="14" t="s">
        <v>58</v>
      </c>
      <c r="C64" s="15" t="s">
        <v>21</v>
      </c>
      <c r="D64" s="26">
        <v>17.11</v>
      </c>
      <c r="E64" s="47" t="s">
        <v>164</v>
      </c>
      <c r="F64" s="26">
        <f>10%*D64</f>
        <v>1.7110000000000001</v>
      </c>
      <c r="G64" s="19">
        <v>0</v>
      </c>
      <c r="H64" s="26">
        <f t="shared" si="15"/>
        <v>1.7110000000000001</v>
      </c>
      <c r="I64" s="19">
        <v>0</v>
      </c>
      <c r="J64" s="19">
        <v>1</v>
      </c>
      <c r="K64" s="19">
        <v>0</v>
      </c>
      <c r="L64" s="19">
        <v>0</v>
      </c>
      <c r="M64" s="19">
        <f t="shared" ref="M64:M71" si="16">SUM(I64:L64)</f>
        <v>1</v>
      </c>
      <c r="N64" s="35"/>
      <c r="O64" s="36" t="s">
        <v>50</v>
      </c>
      <c r="P64" s="16"/>
    </row>
    <row r="65" spans="1:16" ht="30.75" customHeight="1" x14ac:dyDescent="0.3">
      <c r="A65" s="16"/>
      <c r="B65" s="14"/>
      <c r="C65" s="15"/>
      <c r="D65" s="26"/>
      <c r="E65" s="49" t="s">
        <v>187</v>
      </c>
      <c r="F65" s="96">
        <v>1</v>
      </c>
      <c r="G65" s="97">
        <v>0</v>
      </c>
      <c r="H65" s="96">
        <f t="shared" si="15"/>
        <v>1</v>
      </c>
      <c r="I65" s="97">
        <v>0</v>
      </c>
      <c r="J65" s="97">
        <v>0</v>
      </c>
      <c r="K65" s="97">
        <v>0</v>
      </c>
      <c r="L65" s="97">
        <v>0</v>
      </c>
      <c r="M65" s="97">
        <f t="shared" si="16"/>
        <v>0</v>
      </c>
      <c r="N65" s="35"/>
      <c r="O65" s="36"/>
      <c r="P65" s="16"/>
    </row>
    <row r="66" spans="1:16" ht="14.25" customHeight="1" x14ac:dyDescent="0.3">
      <c r="A66" s="16"/>
      <c r="B66" s="14" t="s">
        <v>59</v>
      </c>
      <c r="C66" s="15" t="s">
        <v>43</v>
      </c>
      <c r="D66" s="26">
        <v>17.79</v>
      </c>
      <c r="E66" s="47" t="s">
        <v>163</v>
      </c>
      <c r="F66" s="26">
        <f t="shared" ref="F66:F71" si="17">10%*D66</f>
        <v>1.7789999999999999</v>
      </c>
      <c r="G66" s="19">
        <v>0</v>
      </c>
      <c r="H66" s="26">
        <f t="shared" si="15"/>
        <v>1.7789999999999999</v>
      </c>
      <c r="I66" s="19">
        <v>0</v>
      </c>
      <c r="J66" s="19">
        <v>2</v>
      </c>
      <c r="K66" s="19">
        <v>1</v>
      </c>
      <c r="L66" s="19">
        <v>0</v>
      </c>
      <c r="M66" s="19">
        <f t="shared" si="16"/>
        <v>3</v>
      </c>
      <c r="N66" s="35"/>
      <c r="O66" s="36" t="s">
        <v>137</v>
      </c>
      <c r="P66" s="16"/>
    </row>
    <row r="67" spans="1:16" ht="14.25" customHeight="1" x14ac:dyDescent="0.3">
      <c r="A67" s="16"/>
      <c r="B67" s="14" t="s">
        <v>60</v>
      </c>
      <c r="C67" s="15" t="s">
        <v>44</v>
      </c>
      <c r="D67" s="26">
        <v>30.5</v>
      </c>
      <c r="E67" s="47" t="s">
        <v>164</v>
      </c>
      <c r="F67" s="26">
        <f t="shared" si="17"/>
        <v>3.0500000000000003</v>
      </c>
      <c r="G67" s="19">
        <v>0</v>
      </c>
      <c r="H67" s="26">
        <f t="shared" si="15"/>
        <v>3.0500000000000003</v>
      </c>
      <c r="I67" s="19">
        <v>0</v>
      </c>
      <c r="J67" s="19">
        <v>0</v>
      </c>
      <c r="K67" s="19">
        <v>0</v>
      </c>
      <c r="L67" s="19">
        <v>0</v>
      </c>
      <c r="M67" s="19">
        <f t="shared" si="16"/>
        <v>0</v>
      </c>
      <c r="N67" s="35"/>
      <c r="O67" s="36" t="s">
        <v>145</v>
      </c>
      <c r="P67" s="16"/>
    </row>
    <row r="68" spans="1:16" ht="14.25" customHeight="1" x14ac:dyDescent="0.3">
      <c r="A68" s="16"/>
      <c r="B68" s="14" t="s">
        <v>61</v>
      </c>
      <c r="C68" s="15" t="s">
        <v>33</v>
      </c>
      <c r="D68" s="26">
        <v>5.2</v>
      </c>
      <c r="E68" s="47" t="s">
        <v>163</v>
      </c>
      <c r="F68" s="26">
        <f t="shared" si="17"/>
        <v>0.52</v>
      </c>
      <c r="G68" s="19">
        <v>0</v>
      </c>
      <c r="H68" s="26">
        <f t="shared" si="15"/>
        <v>0.52</v>
      </c>
      <c r="I68" s="19">
        <v>0</v>
      </c>
      <c r="J68" s="19">
        <v>0</v>
      </c>
      <c r="K68" s="19">
        <v>0</v>
      </c>
      <c r="L68" s="19">
        <v>0</v>
      </c>
      <c r="M68" s="19">
        <f t="shared" si="16"/>
        <v>0</v>
      </c>
      <c r="N68" s="35"/>
      <c r="O68" s="36" t="s">
        <v>146</v>
      </c>
      <c r="P68" s="16"/>
    </row>
    <row r="69" spans="1:16" ht="14.25" customHeight="1" x14ac:dyDescent="0.3">
      <c r="A69" s="16"/>
      <c r="B69" s="14" t="s">
        <v>62</v>
      </c>
      <c r="C69" s="15" t="s">
        <v>32</v>
      </c>
      <c r="D69" s="26">
        <v>0.25</v>
      </c>
      <c r="E69" s="47" t="s">
        <v>163</v>
      </c>
      <c r="F69" s="26">
        <f t="shared" si="17"/>
        <v>2.5000000000000001E-2</v>
      </c>
      <c r="G69" s="19">
        <v>0</v>
      </c>
      <c r="H69" s="26">
        <f t="shared" si="15"/>
        <v>2.5000000000000001E-2</v>
      </c>
      <c r="I69" s="19">
        <v>0</v>
      </c>
      <c r="J69" s="19">
        <v>0</v>
      </c>
      <c r="K69" s="19">
        <v>0</v>
      </c>
      <c r="L69" s="19">
        <v>0</v>
      </c>
      <c r="M69" s="19">
        <f t="shared" si="16"/>
        <v>0</v>
      </c>
      <c r="N69" s="35"/>
      <c r="O69" s="36"/>
      <c r="P69" s="16"/>
    </row>
    <row r="70" spans="1:16" ht="20.25" customHeight="1" x14ac:dyDescent="0.3">
      <c r="A70" s="16"/>
      <c r="B70" s="14">
        <v>9</v>
      </c>
      <c r="C70" s="15" t="s">
        <v>30</v>
      </c>
      <c r="D70" s="26">
        <v>9.5</v>
      </c>
      <c r="E70" s="47" t="s">
        <v>163</v>
      </c>
      <c r="F70" s="26">
        <f t="shared" si="17"/>
        <v>0.95000000000000007</v>
      </c>
      <c r="G70" s="19">
        <v>0</v>
      </c>
      <c r="H70" s="26">
        <f t="shared" si="15"/>
        <v>0.95000000000000007</v>
      </c>
      <c r="I70" s="19">
        <v>0</v>
      </c>
      <c r="J70" s="19">
        <v>0</v>
      </c>
      <c r="K70" s="19">
        <v>0</v>
      </c>
      <c r="L70" s="19">
        <v>0</v>
      </c>
      <c r="M70" s="19">
        <f t="shared" si="16"/>
        <v>0</v>
      </c>
      <c r="N70" s="35"/>
      <c r="O70" s="36"/>
      <c r="P70" s="16"/>
    </row>
    <row r="71" spans="1:16" ht="24" customHeight="1" x14ac:dyDescent="0.3">
      <c r="A71" s="87"/>
      <c r="B71" s="55" t="s">
        <v>64</v>
      </c>
      <c r="C71" s="56" t="s">
        <v>31</v>
      </c>
      <c r="D71" s="57">
        <v>4</v>
      </c>
      <c r="E71" s="85" t="s">
        <v>164</v>
      </c>
      <c r="F71" s="26">
        <f t="shared" si="17"/>
        <v>0.4</v>
      </c>
      <c r="G71" s="19">
        <v>0</v>
      </c>
      <c r="H71" s="26">
        <f t="shared" si="15"/>
        <v>0.4</v>
      </c>
      <c r="I71" s="79">
        <v>0</v>
      </c>
      <c r="J71" s="79">
        <v>0</v>
      </c>
      <c r="K71" s="79">
        <v>0</v>
      </c>
      <c r="L71" s="79">
        <v>0</v>
      </c>
      <c r="M71" s="79">
        <f t="shared" si="16"/>
        <v>0</v>
      </c>
      <c r="N71" s="80"/>
      <c r="O71" s="81"/>
      <c r="P71" s="87"/>
    </row>
    <row r="72" spans="1:16" ht="25.5" customHeight="1" x14ac:dyDescent="0.3">
      <c r="A72" s="75"/>
      <c r="B72" s="71"/>
      <c r="C72" s="72"/>
      <c r="D72" s="73">
        <f>SUM(D63:D71)</f>
        <v>93.850000000000009</v>
      </c>
      <c r="E72" s="74"/>
      <c r="F72" s="73">
        <f t="shared" ref="F72:K72" si="18">SUM(F63:F71)</f>
        <v>10.385</v>
      </c>
      <c r="G72" s="83">
        <f t="shared" si="18"/>
        <v>0</v>
      </c>
      <c r="H72" s="73">
        <f t="shared" si="18"/>
        <v>10.385</v>
      </c>
      <c r="I72" s="83">
        <f t="shared" si="18"/>
        <v>0</v>
      </c>
      <c r="J72" s="83">
        <f t="shared" si="18"/>
        <v>3</v>
      </c>
      <c r="K72" s="83">
        <f t="shared" si="18"/>
        <v>1</v>
      </c>
      <c r="L72" s="83">
        <f>SUM(L49:L55)</f>
        <v>0</v>
      </c>
      <c r="M72" s="83">
        <f>SUM(M63:M71)</f>
        <v>4</v>
      </c>
      <c r="N72" s="76"/>
      <c r="O72" s="77"/>
      <c r="P72" s="75"/>
    </row>
    <row r="73" spans="1:16" ht="14.25" customHeight="1" x14ac:dyDescent="0.3">
      <c r="A73" s="103">
        <v>6</v>
      </c>
      <c r="B73" s="104" t="s">
        <v>116</v>
      </c>
      <c r="C73" s="104"/>
      <c r="D73" s="105"/>
      <c r="E73" s="106"/>
      <c r="F73" s="105"/>
      <c r="G73" s="107"/>
      <c r="H73" s="105"/>
      <c r="I73" s="107"/>
      <c r="J73" s="107"/>
      <c r="K73" s="107"/>
      <c r="L73" s="107"/>
      <c r="M73" s="107"/>
      <c r="N73" s="114"/>
      <c r="O73" s="112"/>
      <c r="P73" s="104"/>
    </row>
    <row r="74" spans="1:16" ht="51.75" customHeight="1" x14ac:dyDescent="0.3">
      <c r="A74" s="16"/>
      <c r="B74" s="98" t="s">
        <v>57</v>
      </c>
      <c r="C74" s="99" t="s">
        <v>30</v>
      </c>
      <c r="D74" s="96">
        <v>24.5</v>
      </c>
      <c r="E74" s="101" t="s">
        <v>188</v>
      </c>
      <c r="F74" s="96">
        <f>2%*D74</f>
        <v>0.49</v>
      </c>
      <c r="G74" s="97">
        <v>0</v>
      </c>
      <c r="H74" s="96">
        <f t="shared" ref="H74:H79" si="19">SUM(F74:G74)</f>
        <v>0.49</v>
      </c>
      <c r="I74" s="97">
        <v>0</v>
      </c>
      <c r="J74" s="97"/>
      <c r="K74" s="97">
        <v>0</v>
      </c>
      <c r="L74" s="97">
        <v>0</v>
      </c>
      <c r="M74" s="97">
        <f>SUM(I74:L74)</f>
        <v>0</v>
      </c>
      <c r="N74" s="35"/>
      <c r="O74" s="40" t="s">
        <v>189</v>
      </c>
      <c r="P74" s="16"/>
    </row>
    <row r="75" spans="1:16" ht="23.25" customHeight="1" x14ac:dyDescent="0.3">
      <c r="A75" s="16"/>
      <c r="B75" s="98"/>
      <c r="C75" s="99"/>
      <c r="D75" s="96"/>
      <c r="E75" s="100" t="s">
        <v>182</v>
      </c>
      <c r="F75" s="96">
        <v>3</v>
      </c>
      <c r="G75" s="97">
        <v>0</v>
      </c>
      <c r="H75" s="96">
        <f t="shared" si="19"/>
        <v>3</v>
      </c>
      <c r="I75" s="97">
        <v>0</v>
      </c>
      <c r="J75" s="97"/>
      <c r="K75" s="97">
        <v>0</v>
      </c>
      <c r="L75" s="97">
        <v>0</v>
      </c>
      <c r="M75" s="97">
        <f>SUM(I75:L75)</f>
        <v>0</v>
      </c>
      <c r="N75" s="35"/>
      <c r="O75" s="36" t="s">
        <v>215</v>
      </c>
      <c r="P75" s="16"/>
    </row>
    <row r="76" spans="1:16" ht="14.25" customHeight="1" x14ac:dyDescent="0.3">
      <c r="A76" s="16"/>
      <c r="B76" s="14" t="s">
        <v>58</v>
      </c>
      <c r="C76" s="15" t="s">
        <v>44</v>
      </c>
      <c r="D76" s="26">
        <v>72.03</v>
      </c>
      <c r="E76" s="47" t="s">
        <v>182</v>
      </c>
      <c r="F76" s="26">
        <f>9%*D76</f>
        <v>6.4826999999999995</v>
      </c>
      <c r="G76" s="19">
        <v>0</v>
      </c>
      <c r="H76" s="26">
        <f t="shared" si="19"/>
        <v>6.4826999999999995</v>
      </c>
      <c r="I76" s="19">
        <v>0</v>
      </c>
      <c r="J76" s="19">
        <v>2</v>
      </c>
      <c r="K76" s="19">
        <v>0</v>
      </c>
      <c r="L76" s="19">
        <v>0</v>
      </c>
      <c r="M76" s="19">
        <f t="shared" ref="M76:M79" si="20">SUM(I76:L76)</f>
        <v>2</v>
      </c>
      <c r="N76" s="35"/>
      <c r="O76" s="36"/>
      <c r="P76" s="16"/>
    </row>
    <row r="77" spans="1:16" ht="25.5" customHeight="1" x14ac:dyDescent="0.3">
      <c r="A77" s="16"/>
      <c r="B77" s="14"/>
      <c r="C77" s="15"/>
      <c r="D77" s="26"/>
      <c r="E77" s="101" t="s">
        <v>181</v>
      </c>
      <c r="F77" s="96">
        <v>3</v>
      </c>
      <c r="G77" s="97">
        <v>0</v>
      </c>
      <c r="H77" s="96">
        <f t="shared" si="19"/>
        <v>3</v>
      </c>
      <c r="I77" s="97">
        <v>0</v>
      </c>
      <c r="J77" s="97"/>
      <c r="K77" s="97">
        <v>0</v>
      </c>
      <c r="L77" s="97">
        <v>0</v>
      </c>
      <c r="M77" s="97">
        <f>SUM(I77:L77)</f>
        <v>0</v>
      </c>
      <c r="N77" s="35"/>
      <c r="O77" s="36"/>
      <c r="P77" s="16"/>
    </row>
    <row r="78" spans="1:16" ht="23.25" customHeight="1" x14ac:dyDescent="0.3">
      <c r="A78" s="16"/>
      <c r="B78" s="14" t="s">
        <v>59</v>
      </c>
      <c r="C78" s="15" t="s">
        <v>33</v>
      </c>
      <c r="D78" s="26">
        <v>14.2</v>
      </c>
      <c r="E78" s="101" t="s">
        <v>181</v>
      </c>
      <c r="F78" s="26">
        <f>9%*D78</f>
        <v>1.2779999999999998</v>
      </c>
      <c r="G78" s="19">
        <v>0</v>
      </c>
      <c r="H78" s="26">
        <f t="shared" si="19"/>
        <v>1.2779999999999998</v>
      </c>
      <c r="I78" s="19">
        <v>0</v>
      </c>
      <c r="J78" s="19"/>
      <c r="K78" s="19"/>
      <c r="L78" s="19">
        <v>0</v>
      </c>
      <c r="M78" s="19">
        <f t="shared" si="20"/>
        <v>0</v>
      </c>
      <c r="N78" s="35"/>
      <c r="O78" s="36"/>
      <c r="P78" s="16"/>
    </row>
    <row r="79" spans="1:16" ht="36" customHeight="1" x14ac:dyDescent="0.3">
      <c r="A79" s="16"/>
      <c r="B79" s="122" t="s">
        <v>61</v>
      </c>
      <c r="C79" s="123" t="s">
        <v>35</v>
      </c>
      <c r="D79" s="124">
        <v>35.72</v>
      </c>
      <c r="E79" s="101" t="s">
        <v>183</v>
      </c>
      <c r="F79" s="96">
        <f>8%*D79</f>
        <v>2.8576000000000001</v>
      </c>
      <c r="G79" s="97">
        <v>0</v>
      </c>
      <c r="H79" s="96">
        <f t="shared" si="19"/>
        <v>2.8576000000000001</v>
      </c>
      <c r="I79" s="97">
        <v>0</v>
      </c>
      <c r="J79" s="97">
        <v>0</v>
      </c>
      <c r="K79" s="97">
        <v>0</v>
      </c>
      <c r="L79" s="97">
        <v>0</v>
      </c>
      <c r="M79" s="97">
        <f t="shared" si="20"/>
        <v>0</v>
      </c>
      <c r="N79" s="35"/>
      <c r="O79" s="36"/>
      <c r="P79" s="16"/>
    </row>
    <row r="80" spans="1:16" ht="14.25" customHeight="1" x14ac:dyDescent="0.3">
      <c r="A80" s="68"/>
      <c r="B80" s="128"/>
      <c r="C80" s="126"/>
      <c r="D80" s="127">
        <f>SUM(D74:D79)</f>
        <v>146.44999999999999</v>
      </c>
      <c r="E80" s="129"/>
      <c r="F80" s="130"/>
      <c r="G80" s="131"/>
      <c r="H80" s="130"/>
      <c r="I80" s="131"/>
      <c r="J80" s="131"/>
      <c r="K80" s="131"/>
      <c r="L80" s="131"/>
      <c r="M80" s="131"/>
      <c r="N80" s="69"/>
      <c r="O80" s="70"/>
      <c r="P80" s="87"/>
    </row>
    <row r="81" spans="1:16" ht="14.25" customHeight="1" x14ac:dyDescent="0.3">
      <c r="A81" s="103">
        <v>7</v>
      </c>
      <c r="B81" s="8" t="s">
        <v>117</v>
      </c>
      <c r="C81" s="10"/>
      <c r="D81" s="90"/>
      <c r="E81" s="106"/>
      <c r="F81" s="105"/>
      <c r="G81" s="107"/>
      <c r="H81" s="105"/>
      <c r="I81" s="107"/>
      <c r="J81" s="107"/>
      <c r="K81" s="107"/>
      <c r="L81" s="107"/>
      <c r="M81" s="107"/>
      <c r="N81" s="114"/>
      <c r="O81" s="112"/>
      <c r="P81" s="87"/>
    </row>
    <row r="82" spans="1:16" ht="26.25" customHeight="1" x14ac:dyDescent="0.3">
      <c r="A82" s="16"/>
      <c r="B82" s="14" t="s">
        <v>57</v>
      </c>
      <c r="C82" s="15" t="s">
        <v>22</v>
      </c>
      <c r="D82" s="26">
        <v>296.95</v>
      </c>
      <c r="E82" s="101" t="s">
        <v>203</v>
      </c>
      <c r="F82" s="96">
        <f>10%*D82</f>
        <v>29.695</v>
      </c>
      <c r="G82" s="97">
        <v>0</v>
      </c>
      <c r="H82" s="96">
        <f t="shared" ref="H82:H87" si="21">SUM(F82:G82)</f>
        <v>29.695</v>
      </c>
      <c r="I82" s="97">
        <v>0</v>
      </c>
      <c r="J82" s="97">
        <v>10</v>
      </c>
      <c r="K82" s="97">
        <v>0</v>
      </c>
      <c r="L82" s="97">
        <v>3</v>
      </c>
      <c r="M82" s="97">
        <f>SUM(I82:L82)</f>
        <v>13</v>
      </c>
      <c r="N82" s="35"/>
      <c r="O82" s="40" t="s">
        <v>211</v>
      </c>
      <c r="P82" s="87"/>
    </row>
    <row r="83" spans="1:16" ht="27.75" customHeight="1" x14ac:dyDescent="0.3">
      <c r="A83" s="16"/>
      <c r="B83" s="14" t="s">
        <v>58</v>
      </c>
      <c r="C83" s="15" t="s">
        <v>42</v>
      </c>
      <c r="D83" s="26">
        <v>190.5</v>
      </c>
      <c r="E83" s="101" t="s">
        <v>203</v>
      </c>
      <c r="F83" s="96">
        <f>10%*D83</f>
        <v>19.05</v>
      </c>
      <c r="G83" s="97">
        <v>0</v>
      </c>
      <c r="H83" s="96">
        <f t="shared" si="21"/>
        <v>19.05</v>
      </c>
      <c r="I83" s="97">
        <v>0</v>
      </c>
      <c r="J83" s="97"/>
      <c r="K83" s="97">
        <v>0</v>
      </c>
      <c r="L83" s="97">
        <v>2</v>
      </c>
      <c r="M83" s="97">
        <f>SUM(I83:L83)</f>
        <v>2</v>
      </c>
      <c r="N83" s="35"/>
      <c r="O83" s="40" t="s">
        <v>210</v>
      </c>
      <c r="P83" s="87"/>
    </row>
    <row r="84" spans="1:16" ht="20.25" customHeight="1" x14ac:dyDescent="0.3">
      <c r="A84" s="16"/>
      <c r="B84" s="14" t="s">
        <v>59</v>
      </c>
      <c r="C84" s="15" t="s">
        <v>21</v>
      </c>
      <c r="D84" s="18" t="s">
        <v>201</v>
      </c>
      <c r="E84" s="101" t="s">
        <v>203</v>
      </c>
      <c r="F84" s="96">
        <v>3</v>
      </c>
      <c r="G84" s="97">
        <v>0</v>
      </c>
      <c r="H84" s="96">
        <f t="shared" si="21"/>
        <v>3</v>
      </c>
      <c r="I84" s="97">
        <v>0</v>
      </c>
      <c r="J84" s="97"/>
      <c r="K84" s="97">
        <v>0</v>
      </c>
      <c r="L84" s="97">
        <v>0</v>
      </c>
      <c r="M84" s="97">
        <f>SUM(I84:L84)</f>
        <v>0</v>
      </c>
      <c r="N84" s="35"/>
      <c r="O84" s="36"/>
      <c r="P84" s="87"/>
    </row>
    <row r="85" spans="1:16" ht="27" customHeight="1" x14ac:dyDescent="0.3">
      <c r="A85" s="16"/>
      <c r="B85" s="14" t="s">
        <v>60</v>
      </c>
      <c r="C85" s="15" t="s">
        <v>43</v>
      </c>
      <c r="D85" s="26">
        <v>244.8</v>
      </c>
      <c r="E85" s="101" t="s">
        <v>203</v>
      </c>
      <c r="F85" s="96">
        <f>10%*D85</f>
        <v>24.480000000000004</v>
      </c>
      <c r="G85" s="97">
        <v>0</v>
      </c>
      <c r="H85" s="96">
        <f t="shared" si="21"/>
        <v>24.480000000000004</v>
      </c>
      <c r="I85" s="97">
        <v>0</v>
      </c>
      <c r="J85" s="97">
        <v>10</v>
      </c>
      <c r="K85" s="97">
        <v>0</v>
      </c>
      <c r="L85" s="97">
        <v>4</v>
      </c>
      <c r="M85" s="97">
        <f>SUM(I85:L85)</f>
        <v>14</v>
      </c>
      <c r="N85" s="35"/>
      <c r="O85" s="36"/>
      <c r="P85" s="87"/>
    </row>
    <row r="86" spans="1:16" ht="24" customHeight="1" x14ac:dyDescent="0.3">
      <c r="A86" s="16"/>
      <c r="B86" s="14" t="s">
        <v>61</v>
      </c>
      <c r="C86" s="15" t="s">
        <v>44</v>
      </c>
      <c r="D86" s="26">
        <v>57.95</v>
      </c>
      <c r="E86" s="101" t="s">
        <v>203</v>
      </c>
      <c r="F86" s="26">
        <f>10%*D86</f>
        <v>5.7950000000000008</v>
      </c>
      <c r="G86" s="19">
        <v>0</v>
      </c>
      <c r="H86" s="26">
        <f t="shared" si="21"/>
        <v>5.7950000000000008</v>
      </c>
      <c r="I86" s="19">
        <v>0</v>
      </c>
      <c r="J86" s="19"/>
      <c r="K86" s="19"/>
      <c r="L86" s="19">
        <v>0</v>
      </c>
      <c r="M86" s="19">
        <f t="shared" ref="M86:M87" si="22">SUM(I86:L86)</f>
        <v>0</v>
      </c>
      <c r="N86" s="35"/>
      <c r="O86" s="36"/>
      <c r="P86" s="87"/>
    </row>
    <row r="87" spans="1:16" ht="26.25" customHeight="1" x14ac:dyDescent="0.3">
      <c r="A87" s="16"/>
      <c r="B87" s="14" t="s">
        <v>62</v>
      </c>
      <c r="C87" s="15" t="s">
        <v>27</v>
      </c>
      <c r="D87" s="26">
        <v>2.5</v>
      </c>
      <c r="E87" s="101" t="s">
        <v>203</v>
      </c>
      <c r="F87" s="96">
        <f>10%*D87</f>
        <v>0.25</v>
      </c>
      <c r="G87" s="97">
        <v>0</v>
      </c>
      <c r="H87" s="96">
        <f t="shared" si="21"/>
        <v>0.25</v>
      </c>
      <c r="I87" s="97">
        <v>0</v>
      </c>
      <c r="J87" s="97">
        <v>0</v>
      </c>
      <c r="K87" s="97">
        <v>0</v>
      </c>
      <c r="L87" s="97">
        <v>0</v>
      </c>
      <c r="M87" s="97">
        <f t="shared" si="22"/>
        <v>0</v>
      </c>
      <c r="N87" s="35"/>
      <c r="O87" s="36"/>
      <c r="P87" s="87"/>
    </row>
    <row r="88" spans="1:16" ht="6.75" customHeight="1" x14ac:dyDescent="0.3">
      <c r="A88" s="108"/>
      <c r="B88" s="117"/>
      <c r="C88" s="116"/>
      <c r="D88" s="109"/>
      <c r="E88" s="110"/>
      <c r="F88" s="109"/>
      <c r="G88" s="111"/>
      <c r="H88" s="109"/>
      <c r="I88" s="111"/>
      <c r="J88" s="111"/>
      <c r="K88" s="111"/>
      <c r="L88" s="111"/>
      <c r="M88" s="111"/>
      <c r="N88" s="115"/>
      <c r="O88" s="113"/>
      <c r="P88" s="108"/>
    </row>
    <row r="89" spans="1:16" ht="14.25" customHeight="1" x14ac:dyDescent="0.3">
      <c r="A89" s="75"/>
      <c r="B89" s="71"/>
      <c r="C89" s="72"/>
      <c r="D89" s="73">
        <f>SUM(D82:D88)</f>
        <v>792.7</v>
      </c>
      <c r="E89" s="74"/>
      <c r="F89" s="73">
        <f>SUM(F74:F88)</f>
        <v>99.37830000000001</v>
      </c>
      <c r="G89" s="83">
        <f>SUM(G74:G88)</f>
        <v>0</v>
      </c>
      <c r="H89" s="73">
        <f>SUM(H74:H88)</f>
        <v>99.37830000000001</v>
      </c>
      <c r="I89" s="83"/>
      <c r="J89" s="83"/>
      <c r="K89" s="83"/>
      <c r="L89" s="83"/>
      <c r="M89" s="83"/>
      <c r="N89" s="76"/>
      <c r="O89" s="77"/>
      <c r="P89" s="75"/>
    </row>
    <row r="90" spans="1:16" ht="8.25" customHeight="1" x14ac:dyDescent="0.3">
      <c r="A90" s="6"/>
      <c r="B90" s="9"/>
      <c r="C90" s="11"/>
      <c r="D90" s="6"/>
      <c r="E90" s="52"/>
      <c r="F90" s="7"/>
      <c r="G90" s="7"/>
      <c r="H90" s="7"/>
      <c r="I90" s="7"/>
      <c r="J90" s="7"/>
      <c r="K90" s="7"/>
      <c r="L90" s="7"/>
      <c r="M90" s="7"/>
      <c r="N90" s="9"/>
      <c r="O90" s="11"/>
      <c r="P90" s="6"/>
    </row>
    <row r="91" spans="1:16" ht="8.25" customHeight="1" x14ac:dyDescent="0.3">
      <c r="F91" s="2"/>
      <c r="G91" s="2"/>
      <c r="H91" s="2"/>
      <c r="I91" s="2"/>
      <c r="J91" s="2"/>
      <c r="K91" s="2"/>
      <c r="L91" s="2"/>
      <c r="M91" s="2"/>
    </row>
    <row r="92" spans="1:16" ht="14.25" customHeight="1" x14ac:dyDescent="0.3">
      <c r="F92" s="2"/>
      <c r="G92" s="2"/>
      <c r="H92" s="2"/>
      <c r="I92" s="2"/>
      <c r="J92" s="2" t="s">
        <v>216</v>
      </c>
      <c r="K92" s="2"/>
      <c r="L92" s="2"/>
      <c r="M92" s="2"/>
    </row>
    <row r="93" spans="1:16" ht="12" customHeight="1" x14ac:dyDescent="0.3">
      <c r="A93" s="395" t="s">
        <v>80</v>
      </c>
      <c r="B93" s="395"/>
      <c r="C93" s="395"/>
      <c r="D93" s="395"/>
    </row>
    <row r="94" spans="1:16" x14ac:dyDescent="0.3">
      <c r="A94" s="395" t="s">
        <v>81</v>
      </c>
      <c r="B94" s="395"/>
      <c r="C94" s="395"/>
      <c r="D94" s="395"/>
      <c r="J94" s="1" t="s">
        <v>85</v>
      </c>
    </row>
    <row r="95" spans="1:16" x14ac:dyDescent="0.3">
      <c r="A95" s="395" t="s">
        <v>82</v>
      </c>
      <c r="B95" s="395"/>
      <c r="C95" s="395"/>
      <c r="D95" s="395"/>
      <c r="J95" s="3" t="s">
        <v>86</v>
      </c>
      <c r="K95" s="1" t="s">
        <v>87</v>
      </c>
      <c r="O95" s="1" t="s">
        <v>90</v>
      </c>
    </row>
    <row r="96" spans="1:16" x14ac:dyDescent="0.3">
      <c r="A96" s="395" t="s">
        <v>83</v>
      </c>
      <c r="B96" s="395"/>
      <c r="C96" s="395"/>
      <c r="D96" s="395"/>
      <c r="K96" s="1" t="s">
        <v>91</v>
      </c>
    </row>
    <row r="97" spans="1:15" ht="13.5" customHeight="1" x14ac:dyDescent="0.3"/>
    <row r="98" spans="1:15" ht="13.5" customHeight="1" x14ac:dyDescent="0.3"/>
    <row r="99" spans="1:15" x14ac:dyDescent="0.3">
      <c r="A99" s="398" t="s">
        <v>175</v>
      </c>
      <c r="B99" s="398"/>
      <c r="C99" s="398"/>
      <c r="D99" s="398"/>
      <c r="J99" s="3" t="s">
        <v>88</v>
      </c>
      <c r="K99" s="1" t="s">
        <v>89</v>
      </c>
      <c r="O99" s="1" t="s">
        <v>90</v>
      </c>
    </row>
    <row r="100" spans="1:15" x14ac:dyDescent="0.3">
      <c r="A100" s="395" t="s">
        <v>190</v>
      </c>
      <c r="B100" s="395"/>
      <c r="C100" s="395"/>
      <c r="D100" s="395"/>
      <c r="K100" s="1" t="s">
        <v>92</v>
      </c>
    </row>
  </sheetData>
  <mergeCells count="17">
    <mergeCell ref="A1:P1"/>
    <mergeCell ref="A6:A7"/>
    <mergeCell ref="B6:C6"/>
    <mergeCell ref="D6:D7"/>
    <mergeCell ref="E6:E7"/>
    <mergeCell ref="F6:H6"/>
    <mergeCell ref="I6:M6"/>
    <mergeCell ref="N6:O7"/>
    <mergeCell ref="P6:P7"/>
    <mergeCell ref="B7:C7"/>
    <mergeCell ref="A100:D100"/>
    <mergeCell ref="O20:O23"/>
    <mergeCell ref="A93:D93"/>
    <mergeCell ref="A94:D94"/>
    <mergeCell ref="A95:D95"/>
    <mergeCell ref="A96:D96"/>
    <mergeCell ref="A99:D99"/>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P138"/>
  <sheetViews>
    <sheetView view="pageBreakPreview" zoomScale="96" zoomScaleNormal="100" zoomScaleSheetLayoutView="96" workbookViewId="0">
      <selection activeCell="O31" sqref="O31"/>
    </sheetView>
  </sheetViews>
  <sheetFormatPr defaultColWidth="9.1796875" defaultRowHeight="14" x14ac:dyDescent="0.3"/>
  <cols>
    <col min="1" max="1" width="9" style="1" customWidth="1"/>
    <col min="2" max="2" width="2.1796875" style="1" customWidth="1"/>
    <col min="3" max="3" width="19" style="1" customWidth="1"/>
    <col min="4" max="4" width="11.54296875" style="1" customWidth="1"/>
    <col min="5" max="5" width="27" style="1" customWidth="1"/>
    <col min="6" max="6" width="9" style="1" bestFit="1" customWidth="1"/>
    <col min="7" max="7" width="8.81640625" style="1" customWidth="1"/>
    <col min="8" max="8" width="9" style="1" customWidth="1"/>
    <col min="9" max="9" width="6.453125" style="1" bestFit="1" customWidth="1"/>
    <col min="10" max="10" width="6.81640625" style="1" bestFit="1" customWidth="1"/>
    <col min="11" max="11" width="8.26953125" style="1" customWidth="1"/>
    <col min="12" max="12" width="5.54296875" style="1" bestFit="1" customWidth="1"/>
    <col min="13" max="13" width="6.81640625" style="1" bestFit="1" customWidth="1"/>
    <col min="14" max="14" width="2.1796875" style="1" customWidth="1"/>
    <col min="15" max="15" width="27.81640625" style="1" customWidth="1"/>
    <col min="16" max="16" width="10.26953125" style="1" customWidth="1"/>
    <col min="17" max="16384" width="9.1796875" style="1"/>
  </cols>
  <sheetData>
    <row r="1" spans="1:16" x14ac:dyDescent="0.3">
      <c r="A1" s="385" t="s">
        <v>177</v>
      </c>
      <c r="B1" s="385"/>
      <c r="C1" s="385"/>
      <c r="D1" s="385"/>
      <c r="E1" s="385"/>
      <c r="F1" s="385"/>
      <c r="G1" s="385"/>
      <c r="H1" s="385"/>
      <c r="I1" s="385"/>
      <c r="J1" s="385"/>
      <c r="K1" s="385"/>
      <c r="L1" s="385"/>
      <c r="M1" s="385"/>
      <c r="N1" s="385"/>
      <c r="O1" s="385"/>
      <c r="P1" s="385"/>
    </row>
    <row r="2" spans="1:16" ht="14.25" customHeight="1" x14ac:dyDescent="0.3"/>
    <row r="3" spans="1:16" ht="14.25" customHeight="1" x14ac:dyDescent="0.3">
      <c r="A3" s="1" t="s">
        <v>1</v>
      </c>
      <c r="B3" s="1" t="s">
        <v>78</v>
      </c>
      <c r="C3" s="1" t="s">
        <v>77</v>
      </c>
    </row>
    <row r="4" spans="1:16" ht="14.25" customHeight="1" x14ac:dyDescent="0.3">
      <c r="A4" s="1" t="s">
        <v>2</v>
      </c>
      <c r="B4" s="1" t="s">
        <v>78</v>
      </c>
      <c r="C4" s="4" t="s">
        <v>217</v>
      </c>
    </row>
    <row r="6" spans="1:16" x14ac:dyDescent="0.3">
      <c r="A6" s="386" t="s">
        <v>3</v>
      </c>
      <c r="B6" s="388" t="s">
        <v>4</v>
      </c>
      <c r="C6" s="388"/>
      <c r="D6" s="389" t="s">
        <v>6</v>
      </c>
      <c r="E6" s="391" t="s">
        <v>7</v>
      </c>
      <c r="F6" s="393" t="s">
        <v>170</v>
      </c>
      <c r="G6" s="393"/>
      <c r="H6" s="393"/>
      <c r="I6" s="393" t="s">
        <v>12</v>
      </c>
      <c r="J6" s="393"/>
      <c r="K6" s="393"/>
      <c r="L6" s="393"/>
      <c r="M6" s="393"/>
      <c r="N6" s="391" t="s">
        <v>17</v>
      </c>
      <c r="O6" s="391"/>
      <c r="P6" s="386" t="s">
        <v>192</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ht="24" customHeight="1" x14ac:dyDescent="0.3">
      <c r="A9" s="13">
        <v>1</v>
      </c>
      <c r="B9" s="14" t="s">
        <v>20</v>
      </c>
      <c r="C9" s="15"/>
      <c r="D9" s="16"/>
      <c r="E9" s="47"/>
      <c r="F9" s="16"/>
      <c r="G9" s="16"/>
      <c r="H9" s="16"/>
      <c r="I9" s="16"/>
      <c r="J9" s="16"/>
      <c r="K9" s="16"/>
      <c r="L9" s="16"/>
      <c r="M9" s="16"/>
      <c r="N9" s="35"/>
      <c r="O9" s="36"/>
      <c r="P9" s="16"/>
    </row>
    <row r="10" spans="1:16" ht="24" customHeight="1" x14ac:dyDescent="0.3">
      <c r="A10" s="13"/>
      <c r="B10" s="17" t="s">
        <v>57</v>
      </c>
      <c r="C10" s="15" t="s">
        <v>21</v>
      </c>
      <c r="D10" s="18">
        <v>403.56</v>
      </c>
      <c r="E10" s="47" t="s">
        <v>36</v>
      </c>
      <c r="F10" s="26">
        <f>10%*D10</f>
        <v>40.356000000000002</v>
      </c>
      <c r="G10" s="26">
        <f>5%*D10</f>
        <v>20.178000000000001</v>
      </c>
      <c r="H10" s="26">
        <f>SUM(F10:G10)</f>
        <v>60.534000000000006</v>
      </c>
      <c r="I10" s="19">
        <v>0</v>
      </c>
      <c r="J10" s="19"/>
      <c r="K10" s="19">
        <v>2</v>
      </c>
      <c r="L10" s="19"/>
      <c r="M10" s="20">
        <f>SUM(I10:L10)</f>
        <v>2</v>
      </c>
      <c r="N10" s="37"/>
      <c r="O10" s="36"/>
      <c r="P10" s="16"/>
    </row>
    <row r="11" spans="1:16" ht="24" customHeight="1" x14ac:dyDescent="0.3">
      <c r="A11" s="13"/>
      <c r="B11" s="14"/>
      <c r="C11" s="15"/>
      <c r="D11" s="18"/>
      <c r="E11" s="47" t="s">
        <v>37</v>
      </c>
      <c r="F11" s="26">
        <f>5%*D10</f>
        <v>20.178000000000001</v>
      </c>
      <c r="G11" s="26">
        <f>5%*D11</f>
        <v>0</v>
      </c>
      <c r="H11" s="26">
        <f>SUM(F11:G11)</f>
        <v>20.178000000000001</v>
      </c>
      <c r="I11" s="19">
        <v>0</v>
      </c>
      <c r="J11" s="19">
        <v>0</v>
      </c>
      <c r="K11" s="19">
        <v>4</v>
      </c>
      <c r="L11" s="19">
        <v>0</v>
      </c>
      <c r="M11" s="20">
        <f t="shared" ref="M11:M17" si="0">SUM(I11:L11)</f>
        <v>4</v>
      </c>
      <c r="N11" s="37" t="s">
        <v>51</v>
      </c>
      <c r="O11" s="38" t="s">
        <v>50</v>
      </c>
      <c r="P11" s="16"/>
    </row>
    <row r="12" spans="1:16" ht="24" customHeight="1" x14ac:dyDescent="0.3">
      <c r="A12" s="13"/>
      <c r="B12" s="14"/>
      <c r="C12" s="15"/>
      <c r="D12" s="18"/>
      <c r="E12" s="47" t="s">
        <v>38</v>
      </c>
      <c r="F12" s="26">
        <f>6%*D10</f>
        <v>24.2136</v>
      </c>
      <c r="G12" s="26">
        <f>5%*D12</f>
        <v>0</v>
      </c>
      <c r="H12" s="26">
        <f>SUM(F12:G12)</f>
        <v>24.2136</v>
      </c>
      <c r="I12" s="19">
        <v>0</v>
      </c>
      <c r="J12" s="19"/>
      <c r="K12" s="19">
        <v>4</v>
      </c>
      <c r="L12" s="19">
        <v>0</v>
      </c>
      <c r="M12" s="20">
        <f t="shared" si="0"/>
        <v>4</v>
      </c>
      <c r="N12" s="37" t="s">
        <v>51</v>
      </c>
      <c r="O12" s="36" t="s">
        <v>49</v>
      </c>
      <c r="P12" s="16"/>
    </row>
    <row r="13" spans="1:16" ht="24" customHeight="1" x14ac:dyDescent="0.3">
      <c r="A13" s="13"/>
      <c r="B13" s="14"/>
      <c r="C13" s="15"/>
      <c r="D13" s="18"/>
      <c r="E13" s="48" t="s">
        <v>39</v>
      </c>
      <c r="F13" s="26">
        <f>5%*D10</f>
        <v>20.178000000000001</v>
      </c>
      <c r="G13" s="26">
        <f>5%*D13</f>
        <v>0</v>
      </c>
      <c r="H13" s="26">
        <f>SUM(F13:G13)</f>
        <v>20.178000000000001</v>
      </c>
      <c r="I13" s="22">
        <v>0</v>
      </c>
      <c r="J13" s="22">
        <v>0</v>
      </c>
      <c r="K13" s="22">
        <v>0</v>
      </c>
      <c r="L13" s="22">
        <v>0</v>
      </c>
      <c r="M13" s="23">
        <f t="shared" si="0"/>
        <v>0</v>
      </c>
      <c r="N13" s="39" t="s">
        <v>51</v>
      </c>
      <c r="O13" s="40" t="s">
        <v>48</v>
      </c>
      <c r="P13" s="16"/>
    </row>
    <row r="14" spans="1:16" ht="24" customHeight="1" x14ac:dyDescent="0.3">
      <c r="A14" s="13"/>
      <c r="B14" s="17" t="s">
        <v>58</v>
      </c>
      <c r="C14" s="15" t="s">
        <v>22</v>
      </c>
      <c r="D14" s="18">
        <v>728.56</v>
      </c>
      <c r="E14" s="47" t="s">
        <v>36</v>
      </c>
      <c r="F14" s="26">
        <f>6%*D14</f>
        <v>43.713599999999992</v>
      </c>
      <c r="G14" s="26">
        <f>6%*D14</f>
        <v>43.713599999999992</v>
      </c>
      <c r="H14" s="26">
        <f>SUM(F14:G14)</f>
        <v>87.427199999999985</v>
      </c>
      <c r="I14" s="19">
        <v>0</v>
      </c>
      <c r="J14" s="19">
        <v>10</v>
      </c>
      <c r="K14" s="19">
        <v>4</v>
      </c>
      <c r="L14" s="19">
        <v>0</v>
      </c>
      <c r="M14" s="20">
        <f t="shared" si="0"/>
        <v>14</v>
      </c>
      <c r="N14" s="35"/>
      <c r="O14" s="41"/>
      <c r="P14" s="16"/>
    </row>
    <row r="15" spans="1:16" ht="24" customHeight="1" x14ac:dyDescent="0.3">
      <c r="A15" s="13"/>
      <c r="B15" s="14"/>
      <c r="C15" s="15"/>
      <c r="D15" s="26"/>
      <c r="E15" s="47" t="s">
        <v>37</v>
      </c>
      <c r="F15" s="26">
        <f>5%*D14</f>
        <v>36.427999999999997</v>
      </c>
      <c r="G15" s="26">
        <f>5%*D14</f>
        <v>36.427999999999997</v>
      </c>
      <c r="H15" s="26">
        <f t="shared" ref="H15:H17" si="1">SUM(F15:G15)</f>
        <v>72.855999999999995</v>
      </c>
      <c r="I15" s="19">
        <v>0</v>
      </c>
      <c r="J15" s="19">
        <v>10</v>
      </c>
      <c r="K15" s="19">
        <v>6</v>
      </c>
      <c r="L15" s="19">
        <v>0</v>
      </c>
      <c r="M15" s="20">
        <f t="shared" si="0"/>
        <v>16</v>
      </c>
      <c r="N15" s="35"/>
      <c r="O15" s="36"/>
      <c r="P15" s="16"/>
    </row>
    <row r="16" spans="1:16" ht="24" customHeight="1" x14ac:dyDescent="0.3">
      <c r="A16" s="13"/>
      <c r="B16" s="14"/>
      <c r="C16" s="15"/>
      <c r="D16" s="26"/>
      <c r="E16" s="47" t="s">
        <v>38</v>
      </c>
      <c r="F16" s="26">
        <f>2%*D14</f>
        <v>14.571199999999999</v>
      </c>
      <c r="G16" s="26">
        <f>5%*D14</f>
        <v>36.427999999999997</v>
      </c>
      <c r="H16" s="26">
        <f t="shared" si="1"/>
        <v>50.999199999999995</v>
      </c>
      <c r="I16" s="19">
        <v>0</v>
      </c>
      <c r="J16" s="19">
        <v>0</v>
      </c>
      <c r="K16" s="19">
        <v>8</v>
      </c>
      <c r="L16" s="19">
        <v>0</v>
      </c>
      <c r="M16" s="20">
        <f t="shared" si="0"/>
        <v>8</v>
      </c>
      <c r="N16" s="35"/>
      <c r="O16" s="36"/>
      <c r="P16" s="16"/>
    </row>
    <row r="17" spans="1:16" ht="24" customHeight="1" x14ac:dyDescent="0.3">
      <c r="A17" s="54"/>
      <c r="B17" s="55"/>
      <c r="C17" s="56"/>
      <c r="D17" s="57"/>
      <c r="E17" s="58" t="s">
        <v>39</v>
      </c>
      <c r="F17" s="119">
        <v>45</v>
      </c>
      <c r="G17" s="119">
        <v>0</v>
      </c>
      <c r="H17" s="119">
        <f t="shared" si="1"/>
        <v>45</v>
      </c>
      <c r="I17" s="59">
        <v>0</v>
      </c>
      <c r="J17" s="59">
        <v>0</v>
      </c>
      <c r="K17" s="59">
        <v>0</v>
      </c>
      <c r="L17" s="59">
        <v>0</v>
      </c>
      <c r="M17" s="60">
        <f t="shared" si="0"/>
        <v>0</v>
      </c>
      <c r="N17" s="61"/>
      <c r="O17" s="62"/>
      <c r="P17" s="88"/>
    </row>
    <row r="18" spans="1:16" ht="24" customHeight="1" x14ac:dyDescent="0.3">
      <c r="A18" s="89"/>
      <c r="B18" s="71"/>
      <c r="C18" s="72"/>
      <c r="D18" s="73">
        <f>SUM(D9:D17)</f>
        <v>1132.1199999999999</v>
      </c>
      <c r="E18" s="74"/>
      <c r="F18" s="118">
        <f>SUM(F9:F17)</f>
        <v>244.63839999999999</v>
      </c>
      <c r="G18" s="118">
        <f>SUM(G9:G17)</f>
        <v>136.74759999999998</v>
      </c>
      <c r="H18" s="118">
        <f>SUM(H9:H17)</f>
        <v>381.38599999999997</v>
      </c>
      <c r="I18" s="75">
        <f>SUM(I9:I17)</f>
        <v>0</v>
      </c>
      <c r="J18" s="75">
        <f>SUM(J9:J17)</f>
        <v>20</v>
      </c>
      <c r="K18" s="75">
        <f>SUM(K8:K17)</f>
        <v>28</v>
      </c>
      <c r="L18" s="75"/>
      <c r="M18" s="75">
        <f>SUM(M9:M17)</f>
        <v>48</v>
      </c>
      <c r="N18" s="76"/>
      <c r="O18" s="77"/>
      <c r="P18" s="75"/>
    </row>
    <row r="19" spans="1:16" ht="24" customHeight="1" x14ac:dyDescent="0.3">
      <c r="A19" s="63">
        <v>2</v>
      </c>
      <c r="B19" s="64" t="s">
        <v>23</v>
      </c>
      <c r="C19" s="65"/>
      <c r="D19" s="66"/>
      <c r="E19" s="67"/>
      <c r="F19" s="68"/>
      <c r="G19" s="68"/>
      <c r="H19" s="68"/>
      <c r="I19" s="68"/>
      <c r="J19" s="68"/>
      <c r="K19" s="68"/>
      <c r="L19" s="68"/>
      <c r="M19" s="68"/>
      <c r="N19" s="69"/>
      <c r="O19" s="70"/>
      <c r="P19" s="68"/>
    </row>
    <row r="20" spans="1:16" ht="24" customHeight="1" x14ac:dyDescent="0.3">
      <c r="A20" s="13"/>
      <c r="B20" s="14" t="s">
        <v>57</v>
      </c>
      <c r="C20" s="15" t="s">
        <v>22</v>
      </c>
      <c r="D20" s="26">
        <v>198</v>
      </c>
      <c r="E20" s="47" t="s">
        <v>40</v>
      </c>
      <c r="F20" s="19">
        <v>0</v>
      </c>
      <c r="G20" s="19">
        <f>15%*D20</f>
        <v>29.7</v>
      </c>
      <c r="H20" s="19">
        <f t="shared" ref="H20" si="2">SUM(F20:G20)</f>
        <v>29.7</v>
      </c>
      <c r="I20" s="19">
        <v>0</v>
      </c>
      <c r="J20" s="19">
        <v>15</v>
      </c>
      <c r="K20" s="19">
        <v>4</v>
      </c>
      <c r="L20" s="19">
        <v>0</v>
      </c>
      <c r="M20" s="20">
        <f t="shared" ref="M20" si="3">SUM(I20:L20)</f>
        <v>19</v>
      </c>
      <c r="N20" s="37" t="s">
        <v>51</v>
      </c>
      <c r="O20" s="399" t="s">
        <v>228</v>
      </c>
      <c r="P20" s="16"/>
    </row>
    <row r="21" spans="1:16" ht="24" customHeight="1" x14ac:dyDescent="0.3">
      <c r="A21" s="54"/>
      <c r="B21" s="55"/>
      <c r="C21" s="56"/>
      <c r="D21" s="57"/>
      <c r="E21" s="85"/>
      <c r="F21" s="79"/>
      <c r="G21" s="79"/>
      <c r="H21" s="79"/>
      <c r="I21" s="79"/>
      <c r="J21" s="79"/>
      <c r="K21" s="79"/>
      <c r="L21" s="79"/>
      <c r="M21" s="86"/>
      <c r="N21" s="95"/>
      <c r="O21" s="401"/>
      <c r="P21" s="87"/>
    </row>
    <row r="22" spans="1:16" ht="24" customHeight="1" x14ac:dyDescent="0.3">
      <c r="A22" s="54"/>
      <c r="B22" s="55" t="s">
        <v>58</v>
      </c>
      <c r="C22" s="56" t="s">
        <v>42</v>
      </c>
      <c r="D22" s="57">
        <v>55</v>
      </c>
      <c r="E22" s="47" t="s">
        <v>40</v>
      </c>
      <c r="F22" s="19">
        <v>0</v>
      </c>
      <c r="G22" s="19">
        <f>15%*D22</f>
        <v>8.25</v>
      </c>
      <c r="H22" s="19">
        <f t="shared" ref="H22" si="4">SUM(F22:G22)</f>
        <v>8.25</v>
      </c>
      <c r="I22" s="19">
        <v>0</v>
      </c>
      <c r="J22" s="19">
        <v>1</v>
      </c>
      <c r="K22" s="19">
        <v>4</v>
      </c>
      <c r="L22" s="19">
        <v>0</v>
      </c>
      <c r="M22" s="20">
        <f t="shared" ref="M22" si="5">SUM(I22:L22)</f>
        <v>5</v>
      </c>
      <c r="N22" s="95"/>
      <c r="O22" s="401"/>
      <c r="P22" s="87"/>
    </row>
    <row r="23" spans="1:16" ht="24" customHeight="1" x14ac:dyDescent="0.3">
      <c r="A23" s="54"/>
      <c r="B23" s="55"/>
      <c r="C23" s="56"/>
      <c r="D23" s="57"/>
      <c r="E23" s="85"/>
      <c r="F23" s="79"/>
      <c r="G23" s="79"/>
      <c r="H23" s="79"/>
      <c r="I23" s="79"/>
      <c r="J23" s="79"/>
      <c r="K23" s="79"/>
      <c r="L23" s="79"/>
      <c r="M23" s="86"/>
      <c r="N23" s="95"/>
      <c r="O23" s="401"/>
      <c r="P23" s="87"/>
    </row>
    <row r="24" spans="1:16" ht="24" customHeight="1" x14ac:dyDescent="0.3">
      <c r="A24" s="89"/>
      <c r="B24" s="71"/>
      <c r="C24" s="72"/>
      <c r="D24" s="73">
        <f>SUM(D19:D23)</f>
        <v>253</v>
      </c>
      <c r="E24" s="74"/>
      <c r="F24" s="83">
        <f t="shared" ref="F24:K24" si="6">SUM(F19:F23)</f>
        <v>0</v>
      </c>
      <c r="G24" s="83">
        <f t="shared" si="6"/>
        <v>37.950000000000003</v>
      </c>
      <c r="H24" s="83">
        <f t="shared" si="6"/>
        <v>37.950000000000003</v>
      </c>
      <c r="I24" s="83">
        <f t="shared" si="6"/>
        <v>0</v>
      </c>
      <c r="J24" s="83">
        <f t="shared" si="6"/>
        <v>16</v>
      </c>
      <c r="K24" s="83">
        <f t="shared" si="6"/>
        <v>8</v>
      </c>
      <c r="L24" s="83"/>
      <c r="M24" s="83">
        <f>SUM(M19:M23)</f>
        <v>24</v>
      </c>
      <c r="N24" s="76"/>
      <c r="O24" s="77"/>
      <c r="P24" s="75"/>
    </row>
    <row r="25" spans="1:16" ht="24" customHeight="1" x14ac:dyDescent="0.3">
      <c r="A25" s="63">
        <v>3</v>
      </c>
      <c r="B25" s="64" t="s">
        <v>19</v>
      </c>
      <c r="C25" s="65"/>
      <c r="D25" s="66"/>
      <c r="E25" s="67"/>
      <c r="F25" s="82"/>
      <c r="G25" s="82"/>
      <c r="H25" s="82"/>
      <c r="I25" s="82"/>
      <c r="J25" s="82"/>
      <c r="K25" s="82"/>
      <c r="L25" s="82"/>
      <c r="M25" s="82"/>
      <c r="N25" s="69"/>
      <c r="O25" s="70"/>
      <c r="P25" s="68"/>
    </row>
    <row r="26" spans="1:16" ht="24" customHeight="1" x14ac:dyDescent="0.3">
      <c r="A26" s="13"/>
      <c r="B26" s="14" t="s">
        <v>57</v>
      </c>
      <c r="C26" s="15" t="s">
        <v>24</v>
      </c>
      <c r="D26" s="26">
        <f>1372.4+494</f>
        <v>1866.4</v>
      </c>
      <c r="E26" s="50" t="s">
        <v>52</v>
      </c>
      <c r="F26" s="19">
        <v>0</v>
      </c>
      <c r="G26" s="26">
        <f>45%*D26</f>
        <v>839.88000000000011</v>
      </c>
      <c r="H26" s="26">
        <f>SUM(F26:G26)</f>
        <v>839.88000000000011</v>
      </c>
      <c r="I26" s="19">
        <v>0</v>
      </c>
      <c r="J26" s="19">
        <v>12</v>
      </c>
      <c r="K26" s="19">
        <v>5</v>
      </c>
      <c r="L26" s="19">
        <v>0</v>
      </c>
      <c r="M26" s="19">
        <f>SUM(I26:L26)</f>
        <v>17</v>
      </c>
      <c r="N26" s="35"/>
      <c r="O26" s="43" t="s">
        <v>148</v>
      </c>
      <c r="P26" s="16"/>
    </row>
    <row r="27" spans="1:16" ht="24" customHeight="1" x14ac:dyDescent="0.3">
      <c r="A27" s="13"/>
      <c r="B27" s="14"/>
      <c r="C27" s="15"/>
      <c r="D27" s="26"/>
      <c r="E27" s="47" t="s">
        <v>223</v>
      </c>
      <c r="F27" s="26">
        <f>50%*D26</f>
        <v>933.2</v>
      </c>
      <c r="G27" s="26"/>
      <c r="H27" s="26">
        <f>SUM(F27:G27)</f>
        <v>933.2</v>
      </c>
      <c r="I27" s="19"/>
      <c r="J27" s="19"/>
      <c r="K27" s="19">
        <v>6</v>
      </c>
      <c r="L27" s="19"/>
      <c r="M27" s="19">
        <f>SUM(I27:L27)</f>
        <v>6</v>
      </c>
      <c r="N27" s="35"/>
      <c r="O27" s="43" t="s">
        <v>149</v>
      </c>
      <c r="P27" s="16"/>
    </row>
    <row r="28" spans="1:16" ht="24" customHeight="1" x14ac:dyDescent="0.3">
      <c r="A28" s="13"/>
      <c r="B28" s="14" t="s">
        <v>58</v>
      </c>
      <c r="C28" s="15" t="s">
        <v>25</v>
      </c>
      <c r="D28" s="26">
        <f>994.7+363.2</f>
        <v>1357.9</v>
      </c>
      <c r="E28" s="50" t="s">
        <v>52</v>
      </c>
      <c r="F28" s="19">
        <v>0</v>
      </c>
      <c r="G28" s="26">
        <f t="shared" ref="G28:G40" si="7">50%*D28</f>
        <v>678.95</v>
      </c>
      <c r="H28" s="26">
        <f t="shared" ref="H28:H76" si="8">SUM(F28:G28)</f>
        <v>678.95</v>
      </c>
      <c r="I28" s="19">
        <v>0</v>
      </c>
      <c r="J28" s="19">
        <v>2</v>
      </c>
      <c r="K28" s="19">
        <v>2</v>
      </c>
      <c r="L28" s="19">
        <v>0</v>
      </c>
      <c r="M28" s="19">
        <f t="shared" ref="M28:M77" si="9">SUM(I28:L28)</f>
        <v>4</v>
      </c>
      <c r="N28" s="35"/>
      <c r="O28" s="43" t="s">
        <v>226</v>
      </c>
      <c r="P28" s="16"/>
    </row>
    <row r="29" spans="1:16" ht="24" customHeight="1" x14ac:dyDescent="0.3">
      <c r="A29" s="13"/>
      <c r="B29" s="14"/>
      <c r="C29" s="15"/>
      <c r="D29" s="26"/>
      <c r="E29" s="47" t="s">
        <v>223</v>
      </c>
      <c r="F29" s="26">
        <f>30%*D28</f>
        <v>407.37</v>
      </c>
      <c r="G29" s="26"/>
      <c r="H29" s="26">
        <f>SUM(F29:G29)</f>
        <v>407.37</v>
      </c>
      <c r="I29" s="19"/>
      <c r="J29" s="19"/>
      <c r="K29" s="19">
        <v>6</v>
      </c>
      <c r="L29" s="19"/>
      <c r="M29" s="19">
        <f>SUM(I29:L29)</f>
        <v>6</v>
      </c>
      <c r="N29" s="35"/>
      <c r="O29" s="43"/>
      <c r="P29" s="16"/>
    </row>
    <row r="30" spans="1:16" ht="24" customHeight="1" x14ac:dyDescent="0.3">
      <c r="A30" s="13"/>
      <c r="B30" s="14" t="s">
        <v>59</v>
      </c>
      <c r="C30" s="15" t="s">
        <v>26</v>
      </c>
      <c r="D30" s="26">
        <f>976.5+338</f>
        <v>1314.5</v>
      </c>
      <c r="E30" s="50" t="s">
        <v>52</v>
      </c>
      <c r="F30" s="19">
        <v>0</v>
      </c>
      <c r="G30" s="26">
        <f t="shared" si="7"/>
        <v>657.25</v>
      </c>
      <c r="H30" s="26">
        <f t="shared" si="8"/>
        <v>657.25</v>
      </c>
      <c r="I30" s="19">
        <v>0</v>
      </c>
      <c r="J30" s="19">
        <v>3</v>
      </c>
      <c r="K30" s="19">
        <v>0</v>
      </c>
      <c r="L30" s="19">
        <v>0</v>
      </c>
      <c r="M30" s="19">
        <f t="shared" si="9"/>
        <v>3</v>
      </c>
      <c r="N30" s="35"/>
      <c r="O30" s="43"/>
      <c r="P30" s="16"/>
    </row>
    <row r="31" spans="1:16" ht="24" customHeight="1" x14ac:dyDescent="0.3">
      <c r="A31" s="13"/>
      <c r="B31" s="14"/>
      <c r="C31" s="15"/>
      <c r="D31" s="26"/>
      <c r="E31" s="47" t="s">
        <v>223</v>
      </c>
      <c r="F31" s="26">
        <f>30%*D30</f>
        <v>394.34999999999997</v>
      </c>
      <c r="G31" s="26"/>
      <c r="H31" s="26">
        <f>SUM(F31:G31)</f>
        <v>394.34999999999997</v>
      </c>
      <c r="I31" s="19"/>
      <c r="J31" s="19"/>
      <c r="K31" s="19">
        <v>5</v>
      </c>
      <c r="L31" s="19"/>
      <c r="M31" s="19">
        <f>SUM(I31:L31)</f>
        <v>5</v>
      </c>
      <c r="N31" s="35"/>
      <c r="O31" s="43"/>
      <c r="P31" s="16"/>
    </row>
    <row r="32" spans="1:16" ht="24" customHeight="1" x14ac:dyDescent="0.3">
      <c r="A32" s="13"/>
      <c r="B32" s="14" t="s">
        <v>60</v>
      </c>
      <c r="C32" s="15" t="s">
        <v>55</v>
      </c>
      <c r="D32" s="26">
        <f>291.6+46.93</f>
        <v>338.53000000000003</v>
      </c>
      <c r="E32" s="50" t="s">
        <v>52</v>
      </c>
      <c r="F32" s="19">
        <v>0</v>
      </c>
      <c r="G32" s="26">
        <f t="shared" si="7"/>
        <v>169.26500000000001</v>
      </c>
      <c r="H32" s="26">
        <f t="shared" si="8"/>
        <v>169.26500000000001</v>
      </c>
      <c r="I32" s="19">
        <v>0</v>
      </c>
      <c r="J32" s="19">
        <v>0</v>
      </c>
      <c r="K32" s="19">
        <v>0</v>
      </c>
      <c r="L32" s="19">
        <v>0</v>
      </c>
      <c r="M32" s="19">
        <f t="shared" si="9"/>
        <v>0</v>
      </c>
      <c r="N32" s="35"/>
      <c r="O32" s="43" t="s">
        <v>224</v>
      </c>
      <c r="P32" s="16"/>
    </row>
    <row r="33" spans="1:16" ht="24" customHeight="1" x14ac:dyDescent="0.3">
      <c r="A33" s="13"/>
      <c r="B33" s="14"/>
      <c r="C33" s="15"/>
      <c r="D33" s="26"/>
      <c r="E33" s="47" t="s">
        <v>223</v>
      </c>
      <c r="F33" s="26">
        <f>25%*D32</f>
        <v>84.632500000000007</v>
      </c>
      <c r="G33" s="26"/>
      <c r="H33" s="26">
        <f>SUM(F33:G33)</f>
        <v>84.632500000000007</v>
      </c>
      <c r="I33" s="19">
        <v>0</v>
      </c>
      <c r="J33" s="19">
        <v>0</v>
      </c>
      <c r="K33" s="19">
        <v>0</v>
      </c>
      <c r="L33" s="19">
        <v>0</v>
      </c>
      <c r="M33" s="19">
        <f t="shared" ref="M33" si="10">SUM(I33:L33)</f>
        <v>0</v>
      </c>
      <c r="N33" s="35"/>
      <c r="O33" s="44" t="s">
        <v>225</v>
      </c>
      <c r="P33" s="16"/>
    </row>
    <row r="34" spans="1:16" ht="24" customHeight="1" x14ac:dyDescent="0.3">
      <c r="A34" s="13"/>
      <c r="B34" s="14" t="s">
        <v>61</v>
      </c>
      <c r="C34" s="15" t="s">
        <v>27</v>
      </c>
      <c r="D34" s="26">
        <f>831.5+161.25</f>
        <v>992.75</v>
      </c>
      <c r="E34" s="50" t="s">
        <v>52</v>
      </c>
      <c r="F34" s="19">
        <v>0</v>
      </c>
      <c r="G34" s="26">
        <f t="shared" si="7"/>
        <v>496.375</v>
      </c>
      <c r="H34" s="26">
        <f t="shared" si="8"/>
        <v>496.375</v>
      </c>
      <c r="I34" s="19">
        <v>0</v>
      </c>
      <c r="J34" s="19">
        <v>0</v>
      </c>
      <c r="K34" s="19">
        <v>0</v>
      </c>
      <c r="L34" s="19">
        <v>0</v>
      </c>
      <c r="M34" s="19">
        <f t="shared" si="9"/>
        <v>0</v>
      </c>
      <c r="N34" s="35"/>
      <c r="O34" s="44"/>
      <c r="P34" s="16"/>
    </row>
    <row r="35" spans="1:16" ht="24" customHeight="1" x14ac:dyDescent="0.3">
      <c r="A35" s="13"/>
      <c r="B35" s="14"/>
      <c r="C35" s="15"/>
      <c r="D35" s="26"/>
      <c r="E35" s="47" t="s">
        <v>223</v>
      </c>
      <c r="F35" s="26">
        <f>10%*D34</f>
        <v>99.275000000000006</v>
      </c>
      <c r="G35" s="26"/>
      <c r="H35" s="26">
        <f>SUM(F35:G35)</f>
        <v>99.275000000000006</v>
      </c>
      <c r="I35" s="19">
        <v>0</v>
      </c>
      <c r="J35" s="19">
        <v>0</v>
      </c>
      <c r="K35" s="19">
        <v>0</v>
      </c>
      <c r="L35" s="19">
        <v>0</v>
      </c>
      <c r="M35" s="19">
        <f t="shared" ref="M35" si="11">SUM(I35:L35)</f>
        <v>0</v>
      </c>
      <c r="N35" s="35"/>
      <c r="O35" s="44"/>
      <c r="P35" s="16"/>
    </row>
    <row r="36" spans="1:16" ht="24" customHeight="1" x14ac:dyDescent="0.3">
      <c r="A36" s="13"/>
      <c r="B36" s="14" t="s">
        <v>62</v>
      </c>
      <c r="C36" s="15" t="s">
        <v>28</v>
      </c>
      <c r="D36" s="26">
        <f>868+618.6</f>
        <v>1486.6</v>
      </c>
      <c r="E36" s="50" t="s">
        <v>52</v>
      </c>
      <c r="F36" s="19">
        <v>0</v>
      </c>
      <c r="G36" s="26">
        <f t="shared" si="7"/>
        <v>743.3</v>
      </c>
      <c r="H36" s="26">
        <f t="shared" si="8"/>
        <v>743.3</v>
      </c>
      <c r="I36" s="19">
        <v>0</v>
      </c>
      <c r="J36" s="19">
        <v>0</v>
      </c>
      <c r="K36" s="19">
        <v>0</v>
      </c>
      <c r="L36" s="19">
        <v>0</v>
      </c>
      <c r="M36" s="19">
        <f t="shared" si="9"/>
        <v>0</v>
      </c>
      <c r="N36" s="35"/>
      <c r="O36" s="43" t="s">
        <v>227</v>
      </c>
      <c r="P36" s="16"/>
    </row>
    <row r="37" spans="1:16" ht="24" customHeight="1" x14ac:dyDescent="0.3">
      <c r="A37" s="13"/>
      <c r="B37" s="14"/>
      <c r="C37" s="15"/>
      <c r="D37" s="26"/>
      <c r="E37" s="47" t="s">
        <v>223</v>
      </c>
      <c r="F37" s="26">
        <f>40%*D36</f>
        <v>594.64</v>
      </c>
      <c r="G37" s="26"/>
      <c r="H37" s="26">
        <f>SUM(F37:G37)</f>
        <v>594.64</v>
      </c>
      <c r="I37" s="19">
        <v>0</v>
      </c>
      <c r="J37" s="19">
        <v>0</v>
      </c>
      <c r="K37" s="19">
        <v>0</v>
      </c>
      <c r="L37" s="19">
        <v>0</v>
      </c>
      <c r="M37" s="19">
        <f t="shared" ref="M37" si="12">SUM(I37:L37)</f>
        <v>0</v>
      </c>
      <c r="N37" s="35"/>
      <c r="O37" s="43" t="s">
        <v>153</v>
      </c>
      <c r="P37" s="16"/>
    </row>
    <row r="38" spans="1:16" ht="24" customHeight="1" x14ac:dyDescent="0.3">
      <c r="A38" s="13"/>
      <c r="B38" s="14" t="s">
        <v>63</v>
      </c>
      <c r="C38" s="15" t="s">
        <v>29</v>
      </c>
      <c r="D38" s="26">
        <f>1546+278.5</f>
        <v>1824.5</v>
      </c>
      <c r="E38" s="50" t="s">
        <v>52</v>
      </c>
      <c r="F38" s="19">
        <v>0</v>
      </c>
      <c r="G38" s="26">
        <f t="shared" si="7"/>
        <v>912.25</v>
      </c>
      <c r="H38" s="26">
        <f t="shared" si="8"/>
        <v>912.25</v>
      </c>
      <c r="I38" s="19">
        <v>0</v>
      </c>
      <c r="J38" s="19">
        <v>0</v>
      </c>
      <c r="K38" s="19">
        <v>0</v>
      </c>
      <c r="L38" s="19">
        <v>0</v>
      </c>
      <c r="M38" s="19">
        <f t="shared" si="9"/>
        <v>0</v>
      </c>
      <c r="N38" s="35"/>
      <c r="O38" s="43" t="s">
        <v>154</v>
      </c>
      <c r="P38" s="16"/>
    </row>
    <row r="39" spans="1:16" ht="24" customHeight="1" x14ac:dyDescent="0.3">
      <c r="A39" s="13"/>
      <c r="B39" s="14"/>
      <c r="C39" s="15"/>
      <c r="D39" s="26"/>
      <c r="E39" s="47" t="s">
        <v>223</v>
      </c>
      <c r="F39" s="26">
        <f>30%*D38</f>
        <v>547.35</v>
      </c>
      <c r="G39" s="26"/>
      <c r="H39" s="26">
        <f>SUM(F39:G39)</f>
        <v>547.35</v>
      </c>
      <c r="I39" s="19">
        <v>0</v>
      </c>
      <c r="J39" s="19">
        <v>0</v>
      </c>
      <c r="K39" s="19">
        <v>0</v>
      </c>
      <c r="L39" s="19">
        <v>0</v>
      </c>
      <c r="M39" s="19">
        <f t="shared" ref="M39" si="13">SUM(I39:L39)</f>
        <v>0</v>
      </c>
      <c r="N39" s="35"/>
      <c r="O39" s="43"/>
      <c r="P39" s="16"/>
    </row>
    <row r="40" spans="1:16" ht="24" customHeight="1" x14ac:dyDescent="0.3">
      <c r="A40" s="13"/>
      <c r="B40" s="14" t="s">
        <v>64</v>
      </c>
      <c r="C40" s="15" t="s">
        <v>56</v>
      </c>
      <c r="D40" s="26">
        <f>156.4+34.9</f>
        <v>191.3</v>
      </c>
      <c r="E40" s="50" t="s">
        <v>52</v>
      </c>
      <c r="F40" s="19">
        <v>0</v>
      </c>
      <c r="G40" s="26">
        <f t="shared" si="7"/>
        <v>95.65</v>
      </c>
      <c r="H40" s="26">
        <f t="shared" si="8"/>
        <v>95.65</v>
      </c>
      <c r="I40" s="19">
        <v>0</v>
      </c>
      <c r="J40" s="19">
        <v>6</v>
      </c>
      <c r="K40" s="19">
        <v>0</v>
      </c>
      <c r="L40" s="19">
        <v>0</v>
      </c>
      <c r="M40" s="19">
        <f t="shared" si="9"/>
        <v>6</v>
      </c>
      <c r="N40" s="35"/>
      <c r="O40" s="43"/>
      <c r="P40" s="16"/>
    </row>
    <row r="41" spans="1:16" ht="24" customHeight="1" x14ac:dyDescent="0.3">
      <c r="A41" s="13"/>
      <c r="B41" s="14"/>
      <c r="C41" s="15"/>
      <c r="D41" s="26"/>
      <c r="E41" s="47" t="s">
        <v>223</v>
      </c>
      <c r="F41" s="26">
        <f>10%*D40</f>
        <v>19.130000000000003</v>
      </c>
      <c r="G41" s="26"/>
      <c r="H41" s="26">
        <f>SUM(F41:G41)</f>
        <v>19.130000000000003</v>
      </c>
      <c r="I41" s="19">
        <v>0</v>
      </c>
      <c r="J41" s="19">
        <v>0</v>
      </c>
      <c r="K41" s="19">
        <v>0</v>
      </c>
      <c r="L41" s="19">
        <v>0</v>
      </c>
      <c r="M41" s="19">
        <f t="shared" ref="M41" si="14">SUM(I41:L41)</f>
        <v>0</v>
      </c>
      <c r="N41" s="35"/>
      <c r="O41" s="43"/>
      <c r="P41" s="16"/>
    </row>
    <row r="42" spans="1:16" ht="24" customHeight="1" x14ac:dyDescent="0.3">
      <c r="A42" s="13"/>
      <c r="B42" s="14" t="s">
        <v>65</v>
      </c>
      <c r="C42" s="15" t="s">
        <v>30</v>
      </c>
      <c r="D42" s="26">
        <f>1499.7+565.1</f>
        <v>2064.8000000000002</v>
      </c>
      <c r="E42" s="50" t="s">
        <v>52</v>
      </c>
      <c r="F42" s="19">
        <v>0</v>
      </c>
      <c r="G42" s="26">
        <f>30%*D42</f>
        <v>619.44000000000005</v>
      </c>
      <c r="H42" s="26">
        <f t="shared" si="8"/>
        <v>619.44000000000005</v>
      </c>
      <c r="I42" s="19">
        <v>0</v>
      </c>
      <c r="J42" s="19">
        <v>0</v>
      </c>
      <c r="K42" s="19">
        <v>0</v>
      </c>
      <c r="L42" s="19">
        <v>0</v>
      </c>
      <c r="M42" s="19">
        <f t="shared" si="9"/>
        <v>0</v>
      </c>
      <c r="N42" s="35"/>
      <c r="O42" s="43"/>
      <c r="P42" s="16"/>
    </row>
    <row r="43" spans="1:16" ht="24" customHeight="1" x14ac:dyDescent="0.3">
      <c r="A43" s="13"/>
      <c r="B43" s="14"/>
      <c r="C43" s="15"/>
      <c r="D43" s="26"/>
      <c r="E43" s="47" t="s">
        <v>223</v>
      </c>
      <c r="F43" s="26">
        <f>10%*D42</f>
        <v>206.48000000000002</v>
      </c>
      <c r="G43" s="26"/>
      <c r="H43" s="26">
        <f>SUM(F43:G43)</f>
        <v>206.48000000000002</v>
      </c>
      <c r="I43" s="19">
        <v>0</v>
      </c>
      <c r="J43" s="19">
        <v>0</v>
      </c>
      <c r="K43" s="19">
        <v>0</v>
      </c>
      <c r="L43" s="19">
        <v>0</v>
      </c>
      <c r="M43" s="19">
        <f t="shared" ref="M43" si="15">SUM(I43:L43)</f>
        <v>0</v>
      </c>
      <c r="N43" s="35"/>
      <c r="O43" s="43"/>
      <c r="P43" s="16"/>
    </row>
    <row r="44" spans="1:16" ht="24" customHeight="1" x14ac:dyDescent="0.3">
      <c r="A44" s="13"/>
      <c r="B44" s="14" t="s">
        <v>66</v>
      </c>
      <c r="C44" s="15" t="s">
        <v>31</v>
      </c>
      <c r="D44" s="26">
        <f>1207+389</f>
        <v>1596</v>
      </c>
      <c r="E44" s="50" t="s">
        <v>52</v>
      </c>
      <c r="F44" s="19">
        <v>0</v>
      </c>
      <c r="G44" s="26">
        <f>50%*D44</f>
        <v>798</v>
      </c>
      <c r="H44" s="26">
        <f t="shared" si="8"/>
        <v>798</v>
      </c>
      <c r="I44" s="19">
        <v>0</v>
      </c>
      <c r="J44" s="19">
        <v>0</v>
      </c>
      <c r="K44" s="19">
        <v>0</v>
      </c>
      <c r="L44" s="19">
        <v>0</v>
      </c>
      <c r="M44" s="19">
        <f t="shared" si="9"/>
        <v>0</v>
      </c>
      <c r="N44" s="35"/>
      <c r="O44" s="43"/>
      <c r="P44" s="16"/>
    </row>
    <row r="45" spans="1:16" ht="24" customHeight="1" x14ac:dyDescent="0.3">
      <c r="A45" s="13"/>
      <c r="B45" s="14"/>
      <c r="C45" s="15"/>
      <c r="D45" s="26"/>
      <c r="E45" s="47" t="s">
        <v>223</v>
      </c>
      <c r="F45" s="26">
        <f>20%*D42</f>
        <v>412.96000000000004</v>
      </c>
      <c r="G45" s="26"/>
      <c r="H45" s="26">
        <f>SUM(F45:G45)</f>
        <v>412.96000000000004</v>
      </c>
      <c r="I45" s="19">
        <v>0</v>
      </c>
      <c r="J45" s="19">
        <v>0</v>
      </c>
      <c r="K45" s="19">
        <v>0</v>
      </c>
      <c r="L45" s="19">
        <v>0</v>
      </c>
      <c r="M45" s="19">
        <f t="shared" ref="M45" si="16">SUM(I45:L45)</f>
        <v>0</v>
      </c>
      <c r="N45" s="35"/>
      <c r="O45" s="43"/>
      <c r="P45" s="16"/>
    </row>
    <row r="46" spans="1:16" ht="24" customHeight="1" x14ac:dyDescent="0.3">
      <c r="A46" s="13"/>
      <c r="B46" s="14" t="s">
        <v>67</v>
      </c>
      <c r="C46" s="15" t="s">
        <v>32</v>
      </c>
      <c r="D46" s="26">
        <f>998.9+79.5</f>
        <v>1078.4000000000001</v>
      </c>
      <c r="E46" s="50" t="s">
        <v>52</v>
      </c>
      <c r="F46" s="19">
        <v>0</v>
      </c>
      <c r="G46" s="26">
        <f t="shared" ref="G46:G76" si="17">30%*D46</f>
        <v>323.52000000000004</v>
      </c>
      <c r="H46" s="26">
        <f t="shared" si="8"/>
        <v>323.52000000000004</v>
      </c>
      <c r="I46" s="19">
        <v>0</v>
      </c>
      <c r="J46" s="19">
        <v>0</v>
      </c>
      <c r="K46" s="19">
        <v>0</v>
      </c>
      <c r="L46" s="19">
        <v>0</v>
      </c>
      <c r="M46" s="19">
        <f t="shared" si="9"/>
        <v>0</v>
      </c>
      <c r="N46" s="35"/>
      <c r="O46" s="43"/>
      <c r="P46" s="16"/>
    </row>
    <row r="47" spans="1:16" ht="24" customHeight="1" x14ac:dyDescent="0.3">
      <c r="A47" s="13"/>
      <c r="B47" s="14"/>
      <c r="C47" s="15"/>
      <c r="D47" s="26"/>
      <c r="E47" s="47" t="s">
        <v>223</v>
      </c>
      <c r="F47" s="26">
        <f>20%*D46</f>
        <v>215.68000000000004</v>
      </c>
      <c r="G47" s="26"/>
      <c r="H47" s="26">
        <f>SUM(F47:G47)</f>
        <v>215.68000000000004</v>
      </c>
      <c r="I47" s="19">
        <v>0</v>
      </c>
      <c r="J47" s="19">
        <v>0</v>
      </c>
      <c r="K47" s="19">
        <v>0</v>
      </c>
      <c r="L47" s="19">
        <v>0</v>
      </c>
      <c r="M47" s="19">
        <f t="shared" ref="M47" si="18">SUM(I47:L47)</f>
        <v>0</v>
      </c>
      <c r="N47" s="35"/>
      <c r="O47" s="43"/>
      <c r="P47" s="16"/>
    </row>
    <row r="48" spans="1:16" ht="24" customHeight="1" x14ac:dyDescent="0.3">
      <c r="A48" s="13"/>
      <c r="B48" s="14" t="s">
        <v>68</v>
      </c>
      <c r="C48" s="15" t="s">
        <v>33</v>
      </c>
      <c r="D48" s="26">
        <f>1304+57.5</f>
        <v>1361.5</v>
      </c>
      <c r="E48" s="50" t="s">
        <v>52</v>
      </c>
      <c r="F48" s="19">
        <v>0</v>
      </c>
      <c r="G48" s="26">
        <f t="shared" si="17"/>
        <v>408.45</v>
      </c>
      <c r="H48" s="26">
        <f t="shared" si="8"/>
        <v>408.45</v>
      </c>
      <c r="I48" s="19">
        <v>0</v>
      </c>
      <c r="J48" s="19">
        <v>0</v>
      </c>
      <c r="K48" s="19">
        <v>0</v>
      </c>
      <c r="L48" s="19">
        <v>0</v>
      </c>
      <c r="M48" s="19">
        <f t="shared" si="9"/>
        <v>0</v>
      </c>
      <c r="N48" s="35"/>
      <c r="O48" s="43"/>
      <c r="P48" s="16"/>
    </row>
    <row r="49" spans="1:16" ht="24" customHeight="1" x14ac:dyDescent="0.3">
      <c r="A49" s="13"/>
      <c r="B49" s="14"/>
      <c r="C49" s="15"/>
      <c r="D49" s="26"/>
      <c r="E49" s="47" t="s">
        <v>223</v>
      </c>
      <c r="F49" s="26">
        <f>20%*D48</f>
        <v>272.3</v>
      </c>
      <c r="G49" s="26"/>
      <c r="H49" s="26">
        <f>SUM(F49:G49)</f>
        <v>272.3</v>
      </c>
      <c r="I49" s="19">
        <v>0</v>
      </c>
      <c r="J49" s="19">
        <v>0</v>
      </c>
      <c r="K49" s="19">
        <v>0</v>
      </c>
      <c r="L49" s="19">
        <v>0</v>
      </c>
      <c r="M49" s="19">
        <f t="shared" ref="M49" si="19">SUM(I49:L49)</f>
        <v>0</v>
      </c>
      <c r="N49" s="35"/>
      <c r="O49" s="43"/>
      <c r="P49" s="16"/>
    </row>
    <row r="50" spans="1:16" ht="24" customHeight="1" x14ac:dyDescent="0.3">
      <c r="A50" s="13"/>
      <c r="B50" s="14" t="s">
        <v>69</v>
      </c>
      <c r="C50" s="15" t="s">
        <v>34</v>
      </c>
      <c r="D50" s="26">
        <f>1784.1+362</f>
        <v>2146.1</v>
      </c>
      <c r="E50" s="50" t="s">
        <v>52</v>
      </c>
      <c r="F50" s="19">
        <v>0</v>
      </c>
      <c r="G50" s="26">
        <f t="shared" si="17"/>
        <v>643.82999999999993</v>
      </c>
      <c r="H50" s="26">
        <f t="shared" si="8"/>
        <v>643.82999999999993</v>
      </c>
      <c r="I50" s="19">
        <v>0</v>
      </c>
      <c r="J50" s="19">
        <v>4</v>
      </c>
      <c r="K50" s="19">
        <v>6</v>
      </c>
      <c r="L50" s="19">
        <v>0</v>
      </c>
      <c r="M50" s="19">
        <f t="shared" si="9"/>
        <v>10</v>
      </c>
      <c r="N50" s="35"/>
      <c r="O50" s="43"/>
      <c r="P50" s="16"/>
    </row>
    <row r="51" spans="1:16" ht="24" customHeight="1" x14ac:dyDescent="0.3">
      <c r="A51" s="13"/>
      <c r="B51" s="14"/>
      <c r="C51" s="15"/>
      <c r="D51" s="26"/>
      <c r="E51" s="47" t="s">
        <v>223</v>
      </c>
      <c r="F51" s="26">
        <f>30%*D50</f>
        <v>643.82999999999993</v>
      </c>
      <c r="G51" s="26"/>
      <c r="H51" s="26">
        <f>SUM(F51:G51)</f>
        <v>643.82999999999993</v>
      </c>
      <c r="I51" s="19">
        <v>0</v>
      </c>
      <c r="J51" s="19">
        <v>0</v>
      </c>
      <c r="K51" s="19">
        <v>0</v>
      </c>
      <c r="L51" s="19">
        <v>0</v>
      </c>
      <c r="M51" s="19">
        <f t="shared" si="9"/>
        <v>0</v>
      </c>
      <c r="N51" s="35"/>
      <c r="O51" s="43"/>
      <c r="P51" s="16"/>
    </row>
    <row r="52" spans="1:16" ht="24" customHeight="1" x14ac:dyDescent="0.3">
      <c r="A52" s="13"/>
      <c r="B52" s="14" t="s">
        <v>70</v>
      </c>
      <c r="C52" s="15" t="s">
        <v>35</v>
      </c>
      <c r="D52" s="26">
        <f>1557+181.5</f>
        <v>1738.5</v>
      </c>
      <c r="E52" s="50" t="s">
        <v>52</v>
      </c>
      <c r="F52" s="19">
        <v>0</v>
      </c>
      <c r="G52" s="26">
        <f t="shared" si="17"/>
        <v>521.54999999999995</v>
      </c>
      <c r="H52" s="26">
        <f t="shared" si="8"/>
        <v>521.54999999999995</v>
      </c>
      <c r="I52" s="19">
        <v>0</v>
      </c>
      <c r="J52" s="19">
        <v>0</v>
      </c>
      <c r="K52" s="19">
        <v>0</v>
      </c>
      <c r="L52" s="19">
        <v>0</v>
      </c>
      <c r="M52" s="19">
        <f t="shared" si="9"/>
        <v>0</v>
      </c>
      <c r="N52" s="35"/>
      <c r="O52" s="43"/>
      <c r="P52" s="16"/>
    </row>
    <row r="53" spans="1:16" ht="24" customHeight="1" x14ac:dyDescent="0.3">
      <c r="A53" s="13"/>
      <c r="B53" s="14"/>
      <c r="C53" s="15"/>
      <c r="D53" s="26"/>
      <c r="E53" s="47" t="s">
        <v>223</v>
      </c>
      <c r="F53" s="26">
        <f>20%*D52</f>
        <v>347.70000000000005</v>
      </c>
      <c r="G53" s="26"/>
      <c r="H53" s="26">
        <f>SUM(F53:G53)</f>
        <v>347.70000000000005</v>
      </c>
      <c r="I53" s="19">
        <v>0</v>
      </c>
      <c r="J53" s="19">
        <v>0</v>
      </c>
      <c r="K53" s="19">
        <v>0</v>
      </c>
      <c r="L53" s="19">
        <v>0</v>
      </c>
      <c r="M53" s="19">
        <f t="shared" si="9"/>
        <v>0</v>
      </c>
      <c r="N53" s="35"/>
      <c r="O53" s="43"/>
      <c r="P53" s="16"/>
    </row>
    <row r="54" spans="1:16" ht="24" customHeight="1" x14ac:dyDescent="0.3">
      <c r="A54" s="13"/>
      <c r="B54" s="14" t="s">
        <v>71</v>
      </c>
      <c r="C54" s="15" t="s">
        <v>21</v>
      </c>
      <c r="D54" s="26">
        <f>1940+114</f>
        <v>2054</v>
      </c>
      <c r="E54" s="50" t="s">
        <v>52</v>
      </c>
      <c r="F54" s="19">
        <v>0</v>
      </c>
      <c r="G54" s="26">
        <f t="shared" si="17"/>
        <v>616.19999999999993</v>
      </c>
      <c r="H54" s="26">
        <f t="shared" si="8"/>
        <v>616.19999999999993</v>
      </c>
      <c r="I54" s="19">
        <v>0</v>
      </c>
      <c r="J54" s="19">
        <v>0</v>
      </c>
      <c r="K54" s="19">
        <v>0</v>
      </c>
      <c r="L54" s="19">
        <v>0</v>
      </c>
      <c r="M54" s="19">
        <f t="shared" si="9"/>
        <v>0</v>
      </c>
      <c r="N54" s="35"/>
      <c r="O54" s="43"/>
      <c r="P54" s="16"/>
    </row>
    <row r="55" spans="1:16" ht="24" customHeight="1" x14ac:dyDescent="0.3">
      <c r="A55" s="13"/>
      <c r="B55" s="14"/>
      <c r="C55" s="15"/>
      <c r="D55" s="26"/>
      <c r="E55" s="47" t="s">
        <v>223</v>
      </c>
      <c r="F55" s="26">
        <f>10%*D54</f>
        <v>205.4</v>
      </c>
      <c r="G55" s="26"/>
      <c r="H55" s="26">
        <f>SUM(F55:G55)</f>
        <v>205.4</v>
      </c>
      <c r="I55" s="19">
        <v>0</v>
      </c>
      <c r="J55" s="19">
        <v>0</v>
      </c>
      <c r="K55" s="19">
        <v>0</v>
      </c>
      <c r="L55" s="19">
        <v>0</v>
      </c>
      <c r="M55" s="19">
        <f t="shared" si="9"/>
        <v>0</v>
      </c>
      <c r="N55" s="35"/>
      <c r="O55" s="43"/>
      <c r="P55" s="16"/>
    </row>
    <row r="56" spans="1:16" ht="24" customHeight="1" x14ac:dyDescent="0.3">
      <c r="A56" s="13"/>
      <c r="B56" s="14" t="s">
        <v>72</v>
      </c>
      <c r="C56" s="15" t="s">
        <v>42</v>
      </c>
      <c r="D56" s="26">
        <f>773.1+303.8</f>
        <v>1076.9000000000001</v>
      </c>
      <c r="E56" s="50" t="s">
        <v>52</v>
      </c>
      <c r="F56" s="19">
        <v>0</v>
      </c>
      <c r="G56" s="26">
        <f t="shared" si="17"/>
        <v>323.07</v>
      </c>
      <c r="H56" s="26">
        <f t="shared" si="8"/>
        <v>323.07</v>
      </c>
      <c r="I56" s="19">
        <v>0</v>
      </c>
      <c r="J56" s="19">
        <v>0</v>
      </c>
      <c r="K56" s="19">
        <v>0</v>
      </c>
      <c r="L56" s="19">
        <v>0</v>
      </c>
      <c r="M56" s="19">
        <f t="shared" si="9"/>
        <v>0</v>
      </c>
      <c r="N56" s="35"/>
      <c r="O56" s="36"/>
      <c r="P56" s="16"/>
    </row>
    <row r="57" spans="1:16" ht="24" customHeight="1" x14ac:dyDescent="0.3">
      <c r="A57" s="13"/>
      <c r="B57" s="14"/>
      <c r="C57" s="15"/>
      <c r="D57" s="26"/>
      <c r="E57" s="47" t="s">
        <v>223</v>
      </c>
      <c r="F57" s="26">
        <f>20%*D56</f>
        <v>215.38000000000002</v>
      </c>
      <c r="G57" s="26"/>
      <c r="H57" s="26">
        <f>SUM(F57:G57)</f>
        <v>215.38000000000002</v>
      </c>
      <c r="I57" s="19">
        <v>0</v>
      </c>
      <c r="J57" s="19">
        <v>0</v>
      </c>
      <c r="K57" s="19">
        <v>0</v>
      </c>
      <c r="L57" s="19">
        <v>0</v>
      </c>
      <c r="M57" s="19">
        <f t="shared" si="9"/>
        <v>0</v>
      </c>
      <c r="N57" s="35"/>
      <c r="O57" s="36"/>
      <c r="P57" s="16"/>
    </row>
    <row r="58" spans="1:16" ht="24" customHeight="1" x14ac:dyDescent="0.3">
      <c r="A58" s="13"/>
      <c r="B58" s="14" t="s">
        <v>73</v>
      </c>
      <c r="C58" s="15" t="s">
        <v>105</v>
      </c>
      <c r="D58" s="26">
        <f>153.8+8.7</f>
        <v>162.5</v>
      </c>
      <c r="E58" s="50" t="s">
        <v>52</v>
      </c>
      <c r="F58" s="19">
        <v>0</v>
      </c>
      <c r="G58" s="26">
        <f t="shared" si="17"/>
        <v>48.75</v>
      </c>
      <c r="H58" s="26">
        <f t="shared" si="8"/>
        <v>48.75</v>
      </c>
      <c r="I58" s="19">
        <v>0</v>
      </c>
      <c r="J58" s="19">
        <v>0</v>
      </c>
      <c r="K58" s="19">
        <v>0</v>
      </c>
      <c r="L58" s="19">
        <v>0</v>
      </c>
      <c r="M58" s="19">
        <f t="shared" si="9"/>
        <v>0</v>
      </c>
      <c r="N58" s="35"/>
      <c r="O58" s="36"/>
      <c r="P58" s="16"/>
    </row>
    <row r="59" spans="1:16" ht="24" customHeight="1" x14ac:dyDescent="0.3">
      <c r="A59" s="13"/>
      <c r="B59" s="14"/>
      <c r="C59" s="15"/>
      <c r="D59" s="26"/>
      <c r="E59" s="47" t="s">
        <v>223</v>
      </c>
      <c r="F59" s="26">
        <f>30%*D58</f>
        <v>48.75</v>
      </c>
      <c r="G59" s="26"/>
      <c r="H59" s="26">
        <f>SUM(F59:G59)</f>
        <v>48.75</v>
      </c>
      <c r="I59" s="19">
        <v>0</v>
      </c>
      <c r="J59" s="19">
        <v>0</v>
      </c>
      <c r="K59" s="19">
        <v>0</v>
      </c>
      <c r="L59" s="19">
        <v>0</v>
      </c>
      <c r="M59" s="19">
        <f t="shared" si="9"/>
        <v>0</v>
      </c>
      <c r="N59" s="35"/>
      <c r="O59" s="36"/>
      <c r="P59" s="16"/>
    </row>
    <row r="60" spans="1:16" ht="24" customHeight="1" x14ac:dyDescent="0.3">
      <c r="A60" s="13"/>
      <c r="B60" s="14" t="s">
        <v>74</v>
      </c>
      <c r="C60" s="15" t="s">
        <v>110</v>
      </c>
      <c r="D60" s="26">
        <f>695+48.2</f>
        <v>743.2</v>
      </c>
      <c r="E60" s="50" t="s">
        <v>52</v>
      </c>
      <c r="F60" s="19">
        <v>0</v>
      </c>
      <c r="G60" s="26">
        <f t="shared" si="17"/>
        <v>222.96</v>
      </c>
      <c r="H60" s="26">
        <f t="shared" si="8"/>
        <v>222.96</v>
      </c>
      <c r="I60" s="19">
        <v>0</v>
      </c>
      <c r="J60" s="19">
        <v>0</v>
      </c>
      <c r="K60" s="19">
        <v>0</v>
      </c>
      <c r="L60" s="19">
        <v>0</v>
      </c>
      <c r="M60" s="19">
        <f t="shared" si="9"/>
        <v>0</v>
      </c>
      <c r="N60" s="35"/>
      <c r="O60" s="36"/>
      <c r="P60" s="16"/>
    </row>
    <row r="61" spans="1:16" ht="24" customHeight="1" x14ac:dyDescent="0.3">
      <c r="A61" s="13"/>
      <c r="B61" s="14"/>
      <c r="C61" s="15"/>
      <c r="D61" s="26"/>
      <c r="E61" s="47" t="s">
        <v>223</v>
      </c>
      <c r="F61" s="26">
        <f>10%*D60</f>
        <v>74.320000000000007</v>
      </c>
      <c r="G61" s="26"/>
      <c r="H61" s="26">
        <f>SUM(F61:G61)</f>
        <v>74.320000000000007</v>
      </c>
      <c r="I61" s="19">
        <v>0</v>
      </c>
      <c r="J61" s="19">
        <v>0</v>
      </c>
      <c r="K61" s="19">
        <v>0</v>
      </c>
      <c r="L61" s="19">
        <v>0</v>
      </c>
      <c r="M61" s="19">
        <f t="shared" si="9"/>
        <v>0</v>
      </c>
      <c r="N61" s="35"/>
      <c r="O61" s="36"/>
      <c r="P61" s="16"/>
    </row>
    <row r="62" spans="1:16" ht="24" customHeight="1" x14ac:dyDescent="0.3">
      <c r="A62" s="13"/>
      <c r="B62" s="14" t="s">
        <v>75</v>
      </c>
      <c r="C62" s="15" t="s">
        <v>112</v>
      </c>
      <c r="D62" s="26">
        <f>375+14</f>
        <v>389</v>
      </c>
      <c r="E62" s="50" t="s">
        <v>52</v>
      </c>
      <c r="F62" s="19">
        <v>0</v>
      </c>
      <c r="G62" s="26">
        <f t="shared" si="17"/>
        <v>116.69999999999999</v>
      </c>
      <c r="H62" s="26">
        <f t="shared" si="8"/>
        <v>116.69999999999999</v>
      </c>
      <c r="I62" s="19">
        <v>0</v>
      </c>
      <c r="J62" s="19">
        <v>0</v>
      </c>
      <c r="K62" s="19">
        <v>0</v>
      </c>
      <c r="L62" s="19">
        <v>0</v>
      </c>
      <c r="M62" s="19">
        <f t="shared" si="9"/>
        <v>0</v>
      </c>
      <c r="N62" s="35"/>
      <c r="O62" s="36"/>
      <c r="P62" s="16"/>
    </row>
    <row r="63" spans="1:16" ht="24" customHeight="1" x14ac:dyDescent="0.3">
      <c r="A63" s="13"/>
      <c r="B63" s="14"/>
      <c r="C63" s="15"/>
      <c r="D63" s="26"/>
      <c r="E63" s="47" t="s">
        <v>223</v>
      </c>
      <c r="F63" s="26">
        <f>30%*D62</f>
        <v>116.69999999999999</v>
      </c>
      <c r="G63" s="26"/>
      <c r="H63" s="26">
        <f>SUM(F63:G63)</f>
        <v>116.69999999999999</v>
      </c>
      <c r="I63" s="19">
        <v>0</v>
      </c>
      <c r="J63" s="19">
        <v>0</v>
      </c>
      <c r="K63" s="19">
        <v>0</v>
      </c>
      <c r="L63" s="19">
        <v>0</v>
      </c>
      <c r="M63" s="19">
        <f t="shared" si="9"/>
        <v>0</v>
      </c>
      <c r="N63" s="35"/>
      <c r="O63" s="36"/>
      <c r="P63" s="16"/>
    </row>
    <row r="64" spans="1:16" ht="24" customHeight="1" x14ac:dyDescent="0.3">
      <c r="A64" s="13"/>
      <c r="B64" s="14" t="s">
        <v>104</v>
      </c>
      <c r="C64" s="15" t="s">
        <v>114</v>
      </c>
      <c r="D64" s="26">
        <f>73.5</f>
        <v>73.5</v>
      </c>
      <c r="E64" s="50" t="s">
        <v>52</v>
      </c>
      <c r="F64" s="19">
        <v>0</v>
      </c>
      <c r="G64" s="26">
        <f t="shared" si="17"/>
        <v>22.05</v>
      </c>
      <c r="H64" s="26">
        <f t="shared" si="8"/>
        <v>22.05</v>
      </c>
      <c r="I64" s="19">
        <v>0</v>
      </c>
      <c r="J64" s="19">
        <v>0</v>
      </c>
      <c r="K64" s="19">
        <v>0</v>
      </c>
      <c r="L64" s="19">
        <v>0</v>
      </c>
      <c r="M64" s="19">
        <f t="shared" si="9"/>
        <v>0</v>
      </c>
      <c r="N64" s="35"/>
      <c r="O64" s="36"/>
      <c r="P64" s="16"/>
    </row>
    <row r="65" spans="1:16" ht="24" customHeight="1" x14ac:dyDescent="0.3">
      <c r="A65" s="13"/>
      <c r="B65" s="14"/>
      <c r="C65" s="15"/>
      <c r="D65" s="26"/>
      <c r="E65" s="47" t="s">
        <v>223</v>
      </c>
      <c r="F65" s="26">
        <f>10%*D64</f>
        <v>7.3500000000000005</v>
      </c>
      <c r="G65" s="26"/>
      <c r="H65" s="26">
        <f>SUM(F65:G65)</f>
        <v>7.3500000000000005</v>
      </c>
      <c r="I65" s="19">
        <v>0</v>
      </c>
      <c r="J65" s="19">
        <v>0</v>
      </c>
      <c r="K65" s="19">
        <v>0</v>
      </c>
      <c r="L65" s="19">
        <v>0</v>
      </c>
      <c r="M65" s="19">
        <f t="shared" si="9"/>
        <v>0</v>
      </c>
      <c r="N65" s="35"/>
      <c r="O65" s="36"/>
      <c r="P65" s="16"/>
    </row>
    <row r="66" spans="1:16" ht="24" customHeight="1" x14ac:dyDescent="0.3">
      <c r="A66" s="13"/>
      <c r="B66" s="14" t="s">
        <v>106</v>
      </c>
      <c r="C66" s="15" t="s">
        <v>22</v>
      </c>
      <c r="D66" s="26">
        <f>1130+101</f>
        <v>1231</v>
      </c>
      <c r="E66" s="50" t="s">
        <v>52</v>
      </c>
      <c r="F66" s="19">
        <v>0</v>
      </c>
      <c r="G66" s="26">
        <f t="shared" si="17"/>
        <v>369.3</v>
      </c>
      <c r="H66" s="26">
        <f t="shared" si="8"/>
        <v>369.3</v>
      </c>
      <c r="I66" s="19">
        <v>0</v>
      </c>
      <c r="J66" s="19">
        <v>0</v>
      </c>
      <c r="K66" s="19">
        <v>0</v>
      </c>
      <c r="L66" s="19">
        <v>0</v>
      </c>
      <c r="M66" s="19">
        <f t="shared" si="9"/>
        <v>0</v>
      </c>
      <c r="N66" s="35"/>
      <c r="O66" s="36"/>
      <c r="P66" s="16"/>
    </row>
    <row r="67" spans="1:16" ht="24" customHeight="1" x14ac:dyDescent="0.3">
      <c r="A67" s="13"/>
      <c r="B67" s="14"/>
      <c r="C67" s="15"/>
      <c r="D67" s="26"/>
      <c r="E67" s="47" t="s">
        <v>223</v>
      </c>
      <c r="F67" s="26">
        <f>20%*D66</f>
        <v>246.20000000000002</v>
      </c>
      <c r="G67" s="26"/>
      <c r="H67" s="26">
        <f>SUM(F67:G67)</f>
        <v>246.20000000000002</v>
      </c>
      <c r="I67" s="19">
        <v>0</v>
      </c>
      <c r="J67" s="19">
        <v>0</v>
      </c>
      <c r="K67" s="19">
        <v>0</v>
      </c>
      <c r="L67" s="19">
        <v>0</v>
      </c>
      <c r="M67" s="19">
        <f t="shared" si="9"/>
        <v>0</v>
      </c>
      <c r="N67" s="35"/>
      <c r="O67" s="36"/>
      <c r="P67" s="16"/>
    </row>
    <row r="68" spans="1:16" ht="24" customHeight="1" x14ac:dyDescent="0.3">
      <c r="A68" s="13"/>
      <c r="B68" s="14" t="s">
        <v>108</v>
      </c>
      <c r="C68" s="15" t="s">
        <v>180</v>
      </c>
      <c r="D68" s="26">
        <f>134.8+5</f>
        <v>139.80000000000001</v>
      </c>
      <c r="E68" s="47" t="s">
        <v>52</v>
      </c>
      <c r="F68" s="19">
        <v>0</v>
      </c>
      <c r="G68" s="26">
        <f t="shared" si="17"/>
        <v>41.940000000000005</v>
      </c>
      <c r="H68" s="26">
        <f t="shared" si="8"/>
        <v>41.940000000000005</v>
      </c>
      <c r="I68" s="19">
        <v>0</v>
      </c>
      <c r="J68" s="19">
        <v>0</v>
      </c>
      <c r="K68" s="19">
        <v>0</v>
      </c>
      <c r="L68" s="19">
        <v>0</v>
      </c>
      <c r="M68" s="19">
        <f t="shared" si="9"/>
        <v>0</v>
      </c>
      <c r="N68" s="35"/>
      <c r="O68" s="36"/>
      <c r="P68" s="16"/>
    </row>
    <row r="69" spans="1:16" ht="24" customHeight="1" x14ac:dyDescent="0.3">
      <c r="A69" s="13"/>
      <c r="B69" s="14"/>
      <c r="C69" s="15"/>
      <c r="D69" s="26"/>
      <c r="E69" s="47" t="s">
        <v>223</v>
      </c>
      <c r="F69" s="26">
        <f>20%*D68</f>
        <v>27.960000000000004</v>
      </c>
      <c r="G69" s="26"/>
      <c r="H69" s="26">
        <f>SUM(F69:G69)</f>
        <v>27.960000000000004</v>
      </c>
      <c r="I69" s="19">
        <v>0</v>
      </c>
      <c r="J69" s="19">
        <v>0</v>
      </c>
      <c r="K69" s="19">
        <v>0</v>
      </c>
      <c r="L69" s="19">
        <v>0</v>
      </c>
      <c r="M69" s="19">
        <f t="shared" si="9"/>
        <v>0</v>
      </c>
      <c r="N69" s="35"/>
      <c r="O69" s="36"/>
      <c r="P69" s="16"/>
    </row>
    <row r="70" spans="1:16" ht="24" customHeight="1" x14ac:dyDescent="0.3">
      <c r="A70" s="13"/>
      <c r="B70" s="14" t="s">
        <v>109</v>
      </c>
      <c r="C70" s="15" t="s">
        <v>43</v>
      </c>
      <c r="D70" s="26">
        <f>1189+216.6</f>
        <v>1405.6</v>
      </c>
      <c r="E70" s="50" t="s">
        <v>52</v>
      </c>
      <c r="F70" s="19">
        <v>0</v>
      </c>
      <c r="G70" s="26">
        <f t="shared" si="17"/>
        <v>421.67999999999995</v>
      </c>
      <c r="H70" s="26">
        <f t="shared" si="8"/>
        <v>421.67999999999995</v>
      </c>
      <c r="I70" s="19">
        <v>0</v>
      </c>
      <c r="J70" s="19">
        <v>0</v>
      </c>
      <c r="K70" s="19">
        <v>0</v>
      </c>
      <c r="L70" s="19">
        <v>0</v>
      </c>
      <c r="M70" s="19">
        <f t="shared" si="9"/>
        <v>0</v>
      </c>
      <c r="N70" s="35"/>
      <c r="O70" s="36"/>
      <c r="P70" s="16"/>
    </row>
    <row r="71" spans="1:16" ht="24" customHeight="1" x14ac:dyDescent="0.3">
      <c r="A71" s="13"/>
      <c r="B71" s="14"/>
      <c r="C71" s="15"/>
      <c r="D71" s="26"/>
      <c r="E71" s="47" t="s">
        <v>223</v>
      </c>
      <c r="F71" s="26">
        <f>30%*D70</f>
        <v>421.67999999999995</v>
      </c>
      <c r="G71" s="26"/>
      <c r="H71" s="26">
        <f>SUM(F71:G71)</f>
        <v>421.67999999999995</v>
      </c>
      <c r="I71" s="19">
        <v>0</v>
      </c>
      <c r="J71" s="19">
        <v>0</v>
      </c>
      <c r="K71" s="19">
        <v>0</v>
      </c>
      <c r="L71" s="19">
        <v>0</v>
      </c>
      <c r="M71" s="19">
        <f t="shared" si="9"/>
        <v>0</v>
      </c>
      <c r="N71" s="35"/>
      <c r="O71" s="36"/>
      <c r="P71" s="16"/>
    </row>
    <row r="72" spans="1:16" ht="24" customHeight="1" x14ac:dyDescent="0.3">
      <c r="A72" s="13"/>
      <c r="B72" s="55" t="s">
        <v>111</v>
      </c>
      <c r="C72" s="56" t="s">
        <v>44</v>
      </c>
      <c r="D72" s="57">
        <f>1396.6+127</f>
        <v>1523.6</v>
      </c>
      <c r="E72" s="78" t="s">
        <v>52</v>
      </c>
      <c r="F72" s="19">
        <v>0</v>
      </c>
      <c r="G72" s="26">
        <f t="shared" si="17"/>
        <v>457.08</v>
      </c>
      <c r="H72" s="26">
        <f t="shared" si="8"/>
        <v>457.08</v>
      </c>
      <c r="I72" s="19">
        <v>0</v>
      </c>
      <c r="J72" s="19">
        <v>0</v>
      </c>
      <c r="K72" s="19">
        <v>0</v>
      </c>
      <c r="L72" s="19">
        <v>0</v>
      </c>
      <c r="M72" s="19">
        <f t="shared" si="9"/>
        <v>0</v>
      </c>
      <c r="N72" s="35"/>
      <c r="O72" s="36"/>
      <c r="P72" s="16"/>
    </row>
    <row r="73" spans="1:16" ht="24" customHeight="1" x14ac:dyDescent="0.3">
      <c r="A73" s="13"/>
      <c r="B73" s="55"/>
      <c r="C73" s="56"/>
      <c r="D73" s="57"/>
      <c r="E73" s="47" t="s">
        <v>223</v>
      </c>
      <c r="F73" s="26">
        <f>30%*D72</f>
        <v>457.08</v>
      </c>
      <c r="G73" s="26"/>
      <c r="H73" s="26">
        <f>SUM(F73:G73)</f>
        <v>457.08</v>
      </c>
      <c r="I73" s="19">
        <v>0</v>
      </c>
      <c r="J73" s="19">
        <v>0</v>
      </c>
      <c r="K73" s="19">
        <v>0</v>
      </c>
      <c r="L73" s="19">
        <v>0</v>
      </c>
      <c r="M73" s="19">
        <f t="shared" si="9"/>
        <v>0</v>
      </c>
      <c r="N73" s="35"/>
      <c r="O73" s="36"/>
      <c r="P73" s="16"/>
    </row>
    <row r="74" spans="1:16" ht="24" customHeight="1" x14ac:dyDescent="0.3">
      <c r="A74" s="13"/>
      <c r="B74" s="14" t="s">
        <v>74</v>
      </c>
      <c r="C74" s="15" t="s">
        <v>43</v>
      </c>
      <c r="D74" s="26">
        <v>1189</v>
      </c>
      <c r="E74" s="50" t="s">
        <v>52</v>
      </c>
      <c r="F74" s="19">
        <v>0</v>
      </c>
      <c r="G74" s="26">
        <f t="shared" si="17"/>
        <v>356.7</v>
      </c>
      <c r="H74" s="26">
        <f t="shared" si="8"/>
        <v>356.7</v>
      </c>
      <c r="I74" s="19">
        <v>0</v>
      </c>
      <c r="J74" s="19">
        <v>0</v>
      </c>
      <c r="K74" s="19">
        <v>0</v>
      </c>
      <c r="L74" s="19">
        <v>0</v>
      </c>
      <c r="M74" s="19">
        <f t="shared" si="9"/>
        <v>0</v>
      </c>
      <c r="N74" s="35"/>
      <c r="O74" s="36"/>
      <c r="P74" s="16"/>
    </row>
    <row r="75" spans="1:16" ht="24" customHeight="1" x14ac:dyDescent="0.3">
      <c r="A75" s="54"/>
      <c r="B75" s="55"/>
      <c r="C75" s="56"/>
      <c r="D75" s="57"/>
      <c r="E75" s="47" t="s">
        <v>223</v>
      </c>
      <c r="F75" s="26">
        <f>40%*D74</f>
        <v>475.6</v>
      </c>
      <c r="G75" s="26"/>
      <c r="H75" s="26">
        <f>SUM(F75:G75)</f>
        <v>475.6</v>
      </c>
      <c r="I75" s="19">
        <v>0</v>
      </c>
      <c r="J75" s="19">
        <v>0</v>
      </c>
      <c r="K75" s="19">
        <v>0</v>
      </c>
      <c r="L75" s="19">
        <v>0</v>
      </c>
      <c r="M75" s="19">
        <f t="shared" si="9"/>
        <v>0</v>
      </c>
      <c r="N75" s="80"/>
      <c r="O75" s="81"/>
      <c r="P75" s="87"/>
    </row>
    <row r="76" spans="1:16" ht="24" customHeight="1" x14ac:dyDescent="0.3">
      <c r="A76" s="54"/>
      <c r="B76" s="55" t="s">
        <v>75</v>
      </c>
      <c r="C76" s="56" t="s">
        <v>44</v>
      </c>
      <c r="D76" s="57">
        <v>1391</v>
      </c>
      <c r="E76" s="78" t="s">
        <v>52</v>
      </c>
      <c r="F76" s="19">
        <v>0</v>
      </c>
      <c r="G76" s="26">
        <f t="shared" si="17"/>
        <v>417.3</v>
      </c>
      <c r="H76" s="26">
        <f t="shared" si="8"/>
        <v>417.3</v>
      </c>
      <c r="I76" s="19">
        <v>0</v>
      </c>
      <c r="J76" s="19">
        <v>6</v>
      </c>
      <c r="K76" s="19">
        <v>1</v>
      </c>
      <c r="L76" s="19">
        <v>0</v>
      </c>
      <c r="M76" s="19">
        <f t="shared" si="9"/>
        <v>7</v>
      </c>
      <c r="N76" s="80"/>
      <c r="O76" s="81"/>
      <c r="P76" s="87"/>
    </row>
    <row r="77" spans="1:16" ht="24" customHeight="1" x14ac:dyDescent="0.3">
      <c r="A77" s="141"/>
      <c r="B77" s="117"/>
      <c r="C77" s="116"/>
      <c r="D77" s="109"/>
      <c r="E77" s="110" t="s">
        <v>223</v>
      </c>
      <c r="F77" s="90">
        <f>10%*D76</f>
        <v>139.1</v>
      </c>
      <c r="G77" s="90"/>
      <c r="H77" s="90">
        <f>SUM(F77:G77)</f>
        <v>139.1</v>
      </c>
      <c r="I77" s="19">
        <v>0</v>
      </c>
      <c r="J77" s="19">
        <v>0</v>
      </c>
      <c r="K77" s="19">
        <v>0</v>
      </c>
      <c r="L77" s="19">
        <v>0</v>
      </c>
      <c r="M77" s="19">
        <f t="shared" si="9"/>
        <v>0</v>
      </c>
      <c r="N77" s="93"/>
      <c r="O77" s="113"/>
      <c r="P77" s="5"/>
    </row>
    <row r="78" spans="1:16" ht="24" customHeight="1" x14ac:dyDescent="0.3">
      <c r="A78" s="89"/>
      <c r="B78" s="71"/>
      <c r="C78" s="72"/>
      <c r="D78" s="84">
        <f>SUM(D26:D76)</f>
        <v>30736.879999999997</v>
      </c>
      <c r="E78" s="74"/>
      <c r="F78" s="83">
        <f>SUM(F26:F76)</f>
        <v>7475.3175000000001</v>
      </c>
      <c r="G78" s="83">
        <f>SUM(G26:G76)</f>
        <v>11321.439999999999</v>
      </c>
      <c r="H78" s="83">
        <f>SUM(H26:H77)</f>
        <v>18935.857500000002</v>
      </c>
      <c r="I78" s="83">
        <f>SUM(I26:I76)</f>
        <v>0</v>
      </c>
      <c r="J78" s="83">
        <f>SUM(J26:J76)</f>
        <v>33</v>
      </c>
      <c r="K78" s="83">
        <f>SUM(K26:K76)</f>
        <v>31</v>
      </c>
      <c r="L78" s="83">
        <f>SUM(L26:L76)</f>
        <v>0</v>
      </c>
      <c r="M78" s="83">
        <f>SUM(M26:M76)</f>
        <v>64</v>
      </c>
      <c r="N78" s="76"/>
      <c r="O78" s="77"/>
      <c r="P78" s="75"/>
    </row>
    <row r="79" spans="1:16" ht="24" customHeight="1" x14ac:dyDescent="0.3">
      <c r="A79" s="63">
        <v>4</v>
      </c>
      <c r="B79" s="64" t="s">
        <v>46</v>
      </c>
      <c r="C79" s="65"/>
      <c r="D79" s="66"/>
      <c r="E79" s="67"/>
      <c r="F79" s="82"/>
      <c r="G79" s="82"/>
      <c r="H79" s="82"/>
      <c r="I79" s="82"/>
      <c r="J79" s="82"/>
      <c r="K79" s="82"/>
      <c r="L79" s="82"/>
      <c r="M79" s="82"/>
      <c r="N79" s="69"/>
      <c r="O79" s="70"/>
      <c r="P79" s="68"/>
    </row>
    <row r="80" spans="1:16" ht="24" customHeight="1" x14ac:dyDescent="0.3">
      <c r="A80" s="102"/>
      <c r="B80" s="98" t="s">
        <v>57</v>
      </c>
      <c r="C80" s="99" t="s">
        <v>29</v>
      </c>
      <c r="D80" s="96">
        <v>175</v>
      </c>
      <c r="E80" s="101" t="s">
        <v>184</v>
      </c>
      <c r="F80" s="96">
        <f>5%*D80</f>
        <v>8.75</v>
      </c>
      <c r="G80" s="97">
        <v>0</v>
      </c>
      <c r="H80" s="96">
        <f t="shared" ref="H80:H93" si="20">SUM(F80:G80)</f>
        <v>8.75</v>
      </c>
      <c r="I80" s="97">
        <v>0</v>
      </c>
      <c r="J80" s="97"/>
      <c r="K80" s="97">
        <v>0</v>
      </c>
      <c r="L80" s="97">
        <v>0</v>
      </c>
      <c r="M80" s="97">
        <f t="shared" ref="M80:M93" si="21">SUM(I80:L80)</f>
        <v>0</v>
      </c>
      <c r="N80" s="35"/>
      <c r="O80" s="36" t="s">
        <v>229</v>
      </c>
      <c r="P80" s="16"/>
    </row>
    <row r="81" spans="1:16" ht="24" customHeight="1" x14ac:dyDescent="0.3">
      <c r="A81" s="102"/>
      <c r="B81" s="98"/>
      <c r="C81" s="99"/>
      <c r="D81" s="96"/>
      <c r="E81" s="101" t="s">
        <v>230</v>
      </c>
      <c r="F81" s="96"/>
      <c r="G81" s="96">
        <f>50%*D80</f>
        <v>87.5</v>
      </c>
      <c r="H81" s="96">
        <f>SUM(F81:G81)</f>
        <v>87.5</v>
      </c>
      <c r="I81" s="19">
        <v>0</v>
      </c>
      <c r="J81" s="19">
        <v>0</v>
      </c>
      <c r="K81" s="19">
        <v>0</v>
      </c>
      <c r="L81" s="19">
        <v>0</v>
      </c>
      <c r="M81" s="19">
        <f t="shared" si="21"/>
        <v>0</v>
      </c>
      <c r="N81" s="35"/>
      <c r="O81" s="36" t="s">
        <v>222</v>
      </c>
      <c r="P81" s="16"/>
    </row>
    <row r="82" spans="1:16" ht="24" customHeight="1" x14ac:dyDescent="0.3">
      <c r="A82" s="13"/>
      <c r="B82" s="14" t="s">
        <v>58</v>
      </c>
      <c r="C82" s="15" t="s">
        <v>33</v>
      </c>
      <c r="D82" s="26">
        <v>270</v>
      </c>
      <c r="E82" s="47" t="s">
        <v>185</v>
      </c>
      <c r="F82" s="26">
        <f>5%*D82</f>
        <v>13.5</v>
      </c>
      <c r="G82" s="19">
        <v>0</v>
      </c>
      <c r="H82" s="26">
        <f t="shared" si="20"/>
        <v>13.5</v>
      </c>
      <c r="I82" s="19">
        <v>0</v>
      </c>
      <c r="J82" s="19"/>
      <c r="K82" s="19">
        <v>0</v>
      </c>
      <c r="L82" s="19">
        <v>0</v>
      </c>
      <c r="M82" s="19">
        <f t="shared" si="21"/>
        <v>0</v>
      </c>
      <c r="N82" s="35"/>
      <c r="O82" s="36"/>
      <c r="P82" s="16"/>
    </row>
    <row r="83" spans="1:16" ht="27" customHeight="1" x14ac:dyDescent="0.3">
      <c r="A83" s="13"/>
      <c r="B83" s="14"/>
      <c r="C83" s="15"/>
      <c r="D83" s="26"/>
      <c r="E83" s="49" t="s">
        <v>230</v>
      </c>
      <c r="F83" s="26"/>
      <c r="G83" s="19">
        <f>50%*D82</f>
        <v>135</v>
      </c>
      <c r="H83" s="26">
        <f>SUM(F83:G83)</f>
        <v>135</v>
      </c>
      <c r="I83" s="19">
        <v>0</v>
      </c>
      <c r="J83" s="19">
        <v>0</v>
      </c>
      <c r="K83" s="19">
        <v>0</v>
      </c>
      <c r="L83" s="19">
        <v>0</v>
      </c>
      <c r="M83" s="19">
        <f t="shared" si="21"/>
        <v>0</v>
      </c>
      <c r="N83" s="35"/>
      <c r="O83" s="36"/>
      <c r="P83" s="16"/>
    </row>
    <row r="84" spans="1:16" ht="24" customHeight="1" x14ac:dyDescent="0.3">
      <c r="A84" s="13"/>
      <c r="B84" s="98" t="s">
        <v>59</v>
      </c>
      <c r="C84" s="99" t="s">
        <v>42</v>
      </c>
      <c r="D84" s="96">
        <v>798.93</v>
      </c>
      <c r="E84" s="101" t="s">
        <v>184</v>
      </c>
      <c r="F84" s="96">
        <f>6%*D84</f>
        <v>47.935799999999993</v>
      </c>
      <c r="G84" s="97">
        <v>0</v>
      </c>
      <c r="H84" s="96">
        <f t="shared" si="20"/>
        <v>47.935799999999993</v>
      </c>
      <c r="I84" s="97">
        <v>0</v>
      </c>
      <c r="J84" s="97"/>
      <c r="K84" s="97">
        <v>0</v>
      </c>
      <c r="L84" s="97">
        <v>0</v>
      </c>
      <c r="M84" s="97">
        <f t="shared" si="21"/>
        <v>0</v>
      </c>
      <c r="N84" s="35"/>
      <c r="O84" s="36"/>
      <c r="P84" s="16"/>
    </row>
    <row r="85" spans="1:16" ht="27.75" customHeight="1" x14ac:dyDescent="0.3">
      <c r="A85" s="13"/>
      <c r="B85" s="98"/>
      <c r="C85" s="99"/>
      <c r="D85" s="96"/>
      <c r="E85" s="49" t="s">
        <v>230</v>
      </c>
      <c r="F85" s="96"/>
      <c r="G85" s="97">
        <f>45%*D84</f>
        <v>359.51849999999996</v>
      </c>
      <c r="H85" s="96">
        <f>SUM(F85:G85)</f>
        <v>359.51849999999996</v>
      </c>
      <c r="I85" s="19">
        <v>0</v>
      </c>
      <c r="J85" s="19">
        <v>0</v>
      </c>
      <c r="K85" s="19">
        <v>0</v>
      </c>
      <c r="L85" s="19">
        <v>0</v>
      </c>
      <c r="M85" s="19">
        <f t="shared" si="21"/>
        <v>0</v>
      </c>
      <c r="N85" s="35"/>
      <c r="O85" s="36"/>
      <c r="P85" s="16"/>
    </row>
    <row r="86" spans="1:16" ht="24" customHeight="1" x14ac:dyDescent="0.3">
      <c r="A86" s="13"/>
      <c r="B86" s="98" t="s">
        <v>60</v>
      </c>
      <c r="C86" s="99" t="s">
        <v>21</v>
      </c>
      <c r="D86" s="96">
        <v>1086.55</v>
      </c>
      <c r="E86" s="101" t="s">
        <v>186</v>
      </c>
      <c r="F86" s="96">
        <f>15%*D86</f>
        <v>162.98249999999999</v>
      </c>
      <c r="G86" s="97">
        <v>0</v>
      </c>
      <c r="H86" s="96">
        <f t="shared" si="20"/>
        <v>162.98249999999999</v>
      </c>
      <c r="I86" s="97">
        <v>0</v>
      </c>
      <c r="J86" s="97">
        <v>5</v>
      </c>
      <c r="K86" s="97">
        <v>3</v>
      </c>
      <c r="L86" s="97">
        <v>0</v>
      </c>
      <c r="M86" s="97">
        <f t="shared" si="21"/>
        <v>8</v>
      </c>
      <c r="N86" s="35"/>
      <c r="O86" s="36"/>
      <c r="P86" s="16"/>
    </row>
    <row r="87" spans="1:16" ht="24" customHeight="1" x14ac:dyDescent="0.3">
      <c r="A87" s="13"/>
      <c r="B87" s="98"/>
      <c r="C87" s="99"/>
      <c r="D87" s="96"/>
      <c r="E87" s="100" t="s">
        <v>185</v>
      </c>
      <c r="F87" s="96">
        <f>5%*D86</f>
        <v>54.327500000000001</v>
      </c>
      <c r="G87" s="97">
        <v>0</v>
      </c>
      <c r="H87" s="96">
        <f t="shared" si="20"/>
        <v>54.327500000000001</v>
      </c>
      <c r="I87" s="97">
        <v>0</v>
      </c>
      <c r="J87" s="97"/>
      <c r="K87" s="97">
        <v>0</v>
      </c>
      <c r="L87" s="97">
        <v>0</v>
      </c>
      <c r="M87" s="97">
        <f t="shared" si="21"/>
        <v>0</v>
      </c>
      <c r="N87" s="35"/>
      <c r="O87" s="36"/>
      <c r="P87" s="16"/>
    </row>
    <row r="88" spans="1:16" ht="27" customHeight="1" x14ac:dyDescent="0.3">
      <c r="A88" s="13"/>
      <c r="B88" s="98"/>
      <c r="C88" s="99"/>
      <c r="D88" s="96"/>
      <c r="E88" s="49" t="s">
        <v>230</v>
      </c>
      <c r="F88" s="96"/>
      <c r="G88" s="97">
        <f>40%*D86</f>
        <v>434.62</v>
      </c>
      <c r="H88" s="96">
        <f>SUM(F88:G88)</f>
        <v>434.62</v>
      </c>
      <c r="I88" s="19">
        <v>0</v>
      </c>
      <c r="J88" s="19">
        <v>0</v>
      </c>
      <c r="K88" s="19">
        <v>0</v>
      </c>
      <c r="L88" s="19">
        <v>0</v>
      </c>
      <c r="M88" s="19">
        <f t="shared" si="21"/>
        <v>0</v>
      </c>
      <c r="N88" s="35"/>
      <c r="O88" s="36"/>
      <c r="P88" s="16"/>
    </row>
    <row r="89" spans="1:16" ht="24" customHeight="1" x14ac:dyDescent="0.3">
      <c r="A89" s="16"/>
      <c r="B89" s="14" t="s">
        <v>61</v>
      </c>
      <c r="C89" s="15" t="s">
        <v>22</v>
      </c>
      <c r="D89" s="26">
        <v>1084.55</v>
      </c>
      <c r="E89" s="47" t="s">
        <v>134</v>
      </c>
      <c r="F89" s="26">
        <f>4%*D89</f>
        <v>43.381999999999998</v>
      </c>
      <c r="G89" s="19">
        <v>0</v>
      </c>
      <c r="H89" s="26">
        <f t="shared" si="20"/>
        <v>43.381999999999998</v>
      </c>
      <c r="I89" s="19">
        <v>0</v>
      </c>
      <c r="J89" s="19">
        <v>3</v>
      </c>
      <c r="K89" s="19">
        <v>3</v>
      </c>
      <c r="L89" s="19">
        <v>0</v>
      </c>
      <c r="M89" s="19">
        <f t="shared" si="21"/>
        <v>6</v>
      </c>
      <c r="N89" s="35"/>
      <c r="O89" s="36"/>
      <c r="P89" s="16"/>
    </row>
    <row r="90" spans="1:16" ht="27.75" customHeight="1" x14ac:dyDescent="0.3">
      <c r="A90" s="87"/>
      <c r="B90" s="55"/>
      <c r="C90" s="56"/>
      <c r="D90" s="57"/>
      <c r="E90" s="49" t="s">
        <v>230</v>
      </c>
      <c r="F90" s="26"/>
      <c r="G90" s="19">
        <f>40%*D89</f>
        <v>433.82</v>
      </c>
      <c r="H90" s="26">
        <f>SUM(F90:G90)</f>
        <v>433.82</v>
      </c>
      <c r="I90" s="19"/>
      <c r="J90" s="19">
        <v>10</v>
      </c>
      <c r="K90" s="19"/>
      <c r="L90" s="19"/>
      <c r="M90" s="19"/>
      <c r="N90" s="80"/>
      <c r="O90" s="81"/>
      <c r="P90" s="87"/>
    </row>
    <row r="91" spans="1:16" ht="24" customHeight="1" x14ac:dyDescent="0.3">
      <c r="A91" s="87"/>
      <c r="B91" s="55" t="s">
        <v>62</v>
      </c>
      <c r="C91" s="56" t="s">
        <v>43</v>
      </c>
      <c r="D91" s="57">
        <v>33</v>
      </c>
      <c r="E91" s="47" t="s">
        <v>53</v>
      </c>
      <c r="F91" s="26">
        <f>5%*D91</f>
        <v>1.6500000000000001</v>
      </c>
      <c r="G91" s="19">
        <v>0</v>
      </c>
      <c r="H91" s="26">
        <f t="shared" ref="H91" si="22">SUM(F91:G91)</f>
        <v>1.6500000000000001</v>
      </c>
      <c r="I91" s="19">
        <v>0</v>
      </c>
      <c r="J91" s="19">
        <v>4</v>
      </c>
      <c r="K91" s="19">
        <v>0</v>
      </c>
      <c r="L91" s="19">
        <v>0</v>
      </c>
      <c r="M91" s="19">
        <f t="shared" ref="M91" si="23">SUM(I91:L91)</f>
        <v>4</v>
      </c>
      <c r="N91" s="80"/>
      <c r="O91" s="81"/>
      <c r="P91" s="87"/>
    </row>
    <row r="92" spans="1:16" ht="29.25" customHeight="1" x14ac:dyDescent="0.3">
      <c r="A92" s="16"/>
      <c r="B92" s="64"/>
      <c r="C92" s="65"/>
      <c r="D92" s="66"/>
      <c r="E92" s="49" t="s">
        <v>230</v>
      </c>
      <c r="F92" s="66"/>
      <c r="G92" s="66">
        <f>50%*D91</f>
        <v>16.5</v>
      </c>
      <c r="H92" s="66">
        <f>SUM(F92:G92)</f>
        <v>16.5</v>
      </c>
      <c r="I92" s="82"/>
      <c r="J92" s="82">
        <v>10</v>
      </c>
      <c r="K92" s="82"/>
      <c r="L92" s="82"/>
      <c r="M92" s="82"/>
      <c r="N92" s="35"/>
      <c r="O92" s="36"/>
      <c r="P92" s="16"/>
    </row>
    <row r="93" spans="1:16" ht="24" customHeight="1" x14ac:dyDescent="0.3">
      <c r="A93" s="16"/>
      <c r="B93" s="14" t="s">
        <v>63</v>
      </c>
      <c r="C93" s="15" t="s">
        <v>32</v>
      </c>
      <c r="D93" s="26">
        <v>178.5</v>
      </c>
      <c r="E93" s="47" t="s">
        <v>53</v>
      </c>
      <c r="F93" s="26">
        <f>5%*D93</f>
        <v>8.9250000000000007</v>
      </c>
      <c r="G93" s="19">
        <v>0</v>
      </c>
      <c r="H93" s="26">
        <f t="shared" si="20"/>
        <v>8.9250000000000007</v>
      </c>
      <c r="I93" s="135">
        <v>0</v>
      </c>
      <c r="J93" s="135">
        <v>4</v>
      </c>
      <c r="K93" s="135">
        <v>0</v>
      </c>
      <c r="L93" s="135">
        <v>0</v>
      </c>
      <c r="M93" s="135">
        <f t="shared" si="21"/>
        <v>4</v>
      </c>
      <c r="N93" s="35"/>
      <c r="O93" s="36"/>
      <c r="P93" s="16"/>
    </row>
    <row r="94" spans="1:16" ht="26.25" customHeight="1" x14ac:dyDescent="0.3">
      <c r="A94" s="5"/>
      <c r="B94" s="8"/>
      <c r="C94" s="10"/>
      <c r="D94" s="90"/>
      <c r="E94" s="49" t="s">
        <v>230</v>
      </c>
      <c r="F94" s="90"/>
      <c r="G94" s="90">
        <f>50%*D93</f>
        <v>89.25</v>
      </c>
      <c r="H94" s="90">
        <f>SUM(F94:G94)</f>
        <v>89.25</v>
      </c>
      <c r="I94" s="92"/>
      <c r="J94" s="92">
        <v>10</v>
      </c>
      <c r="K94" s="92"/>
      <c r="L94" s="92"/>
      <c r="M94" s="92"/>
      <c r="N94" s="93"/>
      <c r="O94" s="51"/>
      <c r="P94" s="5"/>
    </row>
    <row r="95" spans="1:16" ht="24" customHeight="1" x14ac:dyDescent="0.3">
      <c r="A95" s="75"/>
      <c r="B95" s="71"/>
      <c r="C95" s="72"/>
      <c r="D95" s="73">
        <f>SUM(D80:D93)</f>
        <v>3626.5299999999997</v>
      </c>
      <c r="E95" s="74"/>
      <c r="F95" s="73">
        <f>SUM(F80:F93)</f>
        <v>341.45279999999997</v>
      </c>
      <c r="G95" s="83">
        <f>SUM(G80:G93)</f>
        <v>1466.9585</v>
      </c>
      <c r="H95" s="73">
        <f>SUM(H80:H94)</f>
        <v>1897.6612999999998</v>
      </c>
      <c r="I95" s="83">
        <f>SUM(I80:I93)</f>
        <v>0</v>
      </c>
      <c r="J95" s="83">
        <f>SUM(J80:J94)</f>
        <v>46</v>
      </c>
      <c r="K95" s="83">
        <f>SUM(K80:K93)</f>
        <v>6</v>
      </c>
      <c r="L95" s="83"/>
      <c r="M95" s="83">
        <f>SUM(M80:M93)</f>
        <v>22</v>
      </c>
      <c r="N95" s="76"/>
      <c r="O95" s="77"/>
      <c r="P95" s="75"/>
    </row>
    <row r="96" spans="1:16" ht="24" customHeight="1" x14ac:dyDescent="0.3">
      <c r="A96" s="63">
        <v>5</v>
      </c>
      <c r="B96" s="64" t="s">
        <v>96</v>
      </c>
      <c r="C96" s="65"/>
      <c r="D96" s="66"/>
      <c r="E96" s="67"/>
      <c r="F96" s="66"/>
      <c r="G96" s="66"/>
      <c r="H96" s="66"/>
      <c r="I96" s="82"/>
      <c r="J96" s="82"/>
      <c r="K96" s="82"/>
      <c r="L96" s="82"/>
      <c r="M96" s="82"/>
      <c r="N96" s="69"/>
      <c r="O96" s="70"/>
      <c r="P96" s="68"/>
    </row>
    <row r="97" spans="1:16" ht="24" customHeight="1" x14ac:dyDescent="0.3">
      <c r="A97" s="16"/>
      <c r="B97" s="14" t="s">
        <v>57</v>
      </c>
      <c r="C97" s="15" t="s">
        <v>22</v>
      </c>
      <c r="D97" s="26">
        <v>9.5</v>
      </c>
      <c r="E97" s="47" t="s">
        <v>163</v>
      </c>
      <c r="F97" s="26">
        <f>10%*D97</f>
        <v>0.95000000000000007</v>
      </c>
      <c r="G97" s="26">
        <v>0</v>
      </c>
      <c r="H97" s="26">
        <f t="shared" ref="H97:H105" si="24">SUM(F97:G97)</f>
        <v>0.95000000000000007</v>
      </c>
      <c r="I97" s="19">
        <v>0</v>
      </c>
      <c r="J97" s="19"/>
      <c r="K97" s="19">
        <v>0</v>
      </c>
      <c r="L97" s="19">
        <v>0</v>
      </c>
      <c r="M97" s="19">
        <f>SUM(I97:L97)</f>
        <v>0</v>
      </c>
      <c r="N97" s="35"/>
      <c r="O97" s="36" t="s">
        <v>136</v>
      </c>
      <c r="P97" s="16"/>
    </row>
    <row r="98" spans="1:16" ht="24" customHeight="1" x14ac:dyDescent="0.3">
      <c r="A98" s="16"/>
      <c r="B98" s="14" t="s">
        <v>58</v>
      </c>
      <c r="C98" s="15" t="s">
        <v>21</v>
      </c>
      <c r="D98" s="26">
        <v>17.11</v>
      </c>
      <c r="E98" s="47" t="s">
        <v>164</v>
      </c>
      <c r="F98" s="26">
        <f>10%*D98</f>
        <v>1.7110000000000001</v>
      </c>
      <c r="G98" s="26">
        <f>6%*D98</f>
        <v>1.0266</v>
      </c>
      <c r="H98" s="26">
        <f t="shared" si="24"/>
        <v>2.7376</v>
      </c>
      <c r="I98" s="19">
        <v>0</v>
      </c>
      <c r="J98" s="19">
        <v>1</v>
      </c>
      <c r="K98" s="19">
        <v>0</v>
      </c>
      <c r="L98" s="19">
        <v>0</v>
      </c>
      <c r="M98" s="19">
        <f t="shared" ref="M98:M105" si="25">SUM(I98:L98)</f>
        <v>1</v>
      </c>
      <c r="N98" s="35"/>
      <c r="O98" s="36" t="s">
        <v>50</v>
      </c>
      <c r="P98" s="16"/>
    </row>
    <row r="99" spans="1:16" ht="27" customHeight="1" x14ac:dyDescent="0.3">
      <c r="A99" s="16"/>
      <c r="B99" s="14"/>
      <c r="C99" s="15"/>
      <c r="D99" s="26"/>
      <c r="E99" s="49" t="s">
        <v>187</v>
      </c>
      <c r="F99" s="96">
        <v>1</v>
      </c>
      <c r="G99" s="96">
        <v>0</v>
      </c>
      <c r="H99" s="96">
        <f t="shared" si="24"/>
        <v>1</v>
      </c>
      <c r="I99" s="97">
        <v>0</v>
      </c>
      <c r="J99" s="97">
        <v>0</v>
      </c>
      <c r="K99" s="97">
        <v>0</v>
      </c>
      <c r="L99" s="97">
        <v>0</v>
      </c>
      <c r="M99" s="97">
        <f t="shared" si="25"/>
        <v>0</v>
      </c>
      <c r="N99" s="35"/>
      <c r="O99" s="36"/>
      <c r="P99" s="16"/>
    </row>
    <row r="100" spans="1:16" ht="24" customHeight="1" x14ac:dyDescent="0.3">
      <c r="A100" s="16"/>
      <c r="B100" s="14" t="s">
        <v>59</v>
      </c>
      <c r="C100" s="15" t="s">
        <v>43</v>
      </c>
      <c r="D100" s="26">
        <v>17.79</v>
      </c>
      <c r="E100" s="47" t="s">
        <v>163</v>
      </c>
      <c r="F100" s="26">
        <f t="shared" ref="F100:F105" si="26">10%*D100</f>
        <v>1.7789999999999999</v>
      </c>
      <c r="G100" s="26">
        <v>0</v>
      </c>
      <c r="H100" s="26">
        <f t="shared" si="24"/>
        <v>1.7789999999999999</v>
      </c>
      <c r="I100" s="19">
        <v>0</v>
      </c>
      <c r="J100" s="19">
        <v>2</v>
      </c>
      <c r="K100" s="19">
        <v>1</v>
      </c>
      <c r="L100" s="19">
        <v>0</v>
      </c>
      <c r="M100" s="19">
        <f t="shared" si="25"/>
        <v>3</v>
      </c>
      <c r="N100" s="35"/>
      <c r="O100" s="36" t="s">
        <v>137</v>
      </c>
      <c r="P100" s="16"/>
    </row>
    <row r="101" spans="1:16" ht="24" customHeight="1" x14ac:dyDescent="0.3">
      <c r="A101" s="16"/>
      <c r="B101" s="14" t="s">
        <v>60</v>
      </c>
      <c r="C101" s="15" t="s">
        <v>44</v>
      </c>
      <c r="D101" s="26">
        <v>30.5</v>
      </c>
      <c r="E101" s="47" t="s">
        <v>164</v>
      </c>
      <c r="F101" s="26">
        <f t="shared" si="26"/>
        <v>3.0500000000000003</v>
      </c>
      <c r="G101" s="26">
        <v>0</v>
      </c>
      <c r="H101" s="26">
        <f t="shared" si="24"/>
        <v>3.0500000000000003</v>
      </c>
      <c r="I101" s="19">
        <v>0</v>
      </c>
      <c r="J101" s="19">
        <v>0</v>
      </c>
      <c r="K101" s="19">
        <v>0</v>
      </c>
      <c r="L101" s="19">
        <v>0</v>
      </c>
      <c r="M101" s="19">
        <f t="shared" si="25"/>
        <v>0</v>
      </c>
      <c r="N101" s="35"/>
      <c r="O101" s="36" t="s">
        <v>145</v>
      </c>
      <c r="P101" s="16"/>
    </row>
    <row r="102" spans="1:16" ht="24" customHeight="1" x14ac:dyDescent="0.3">
      <c r="A102" s="16"/>
      <c r="B102" s="14" t="s">
        <v>61</v>
      </c>
      <c r="C102" s="15" t="s">
        <v>33</v>
      </c>
      <c r="D102" s="26">
        <v>5.2</v>
      </c>
      <c r="E102" s="47" t="s">
        <v>163</v>
      </c>
      <c r="F102" s="26">
        <f t="shared" si="26"/>
        <v>0.52</v>
      </c>
      <c r="G102" s="26">
        <v>0</v>
      </c>
      <c r="H102" s="26">
        <f t="shared" si="24"/>
        <v>0.52</v>
      </c>
      <c r="I102" s="19">
        <v>0</v>
      </c>
      <c r="J102" s="19">
        <v>0</v>
      </c>
      <c r="K102" s="19">
        <v>0</v>
      </c>
      <c r="L102" s="19">
        <v>0</v>
      </c>
      <c r="M102" s="19">
        <f t="shared" si="25"/>
        <v>0</v>
      </c>
      <c r="N102" s="35"/>
      <c r="O102" s="36" t="s">
        <v>146</v>
      </c>
      <c r="P102" s="16"/>
    </row>
    <row r="103" spans="1:16" ht="24" customHeight="1" x14ac:dyDescent="0.3">
      <c r="A103" s="16"/>
      <c r="B103" s="14" t="s">
        <v>62</v>
      </c>
      <c r="C103" s="15" t="s">
        <v>32</v>
      </c>
      <c r="D103" s="26">
        <v>0.25</v>
      </c>
      <c r="E103" s="47" t="s">
        <v>163</v>
      </c>
      <c r="F103" s="26">
        <f t="shared" si="26"/>
        <v>2.5000000000000001E-2</v>
      </c>
      <c r="G103" s="26">
        <v>0</v>
      </c>
      <c r="H103" s="26">
        <f t="shared" si="24"/>
        <v>2.5000000000000001E-2</v>
      </c>
      <c r="I103" s="19">
        <v>0</v>
      </c>
      <c r="J103" s="19">
        <v>0</v>
      </c>
      <c r="K103" s="19">
        <v>0</v>
      </c>
      <c r="L103" s="19">
        <v>0</v>
      </c>
      <c r="M103" s="19">
        <f t="shared" si="25"/>
        <v>0</v>
      </c>
      <c r="N103" s="35"/>
      <c r="O103" s="36"/>
      <c r="P103" s="16"/>
    </row>
    <row r="104" spans="1:16" ht="24" customHeight="1" x14ac:dyDescent="0.3">
      <c r="A104" s="16"/>
      <c r="B104" s="14">
        <v>9</v>
      </c>
      <c r="C104" s="15" t="s">
        <v>30</v>
      </c>
      <c r="D104" s="26">
        <v>9.5</v>
      </c>
      <c r="E104" s="47" t="s">
        <v>163</v>
      </c>
      <c r="F104" s="26">
        <f t="shared" si="26"/>
        <v>0.95000000000000007</v>
      </c>
      <c r="G104" s="26">
        <v>0</v>
      </c>
      <c r="H104" s="26">
        <f t="shared" si="24"/>
        <v>0.95000000000000007</v>
      </c>
      <c r="I104" s="19">
        <v>0</v>
      </c>
      <c r="J104" s="19">
        <v>0</v>
      </c>
      <c r="K104" s="19">
        <v>0</v>
      </c>
      <c r="L104" s="19">
        <v>0</v>
      </c>
      <c r="M104" s="19">
        <f t="shared" si="25"/>
        <v>0</v>
      </c>
      <c r="N104" s="35"/>
      <c r="O104" s="36"/>
      <c r="P104" s="16"/>
    </row>
    <row r="105" spans="1:16" ht="24" customHeight="1" x14ac:dyDescent="0.3">
      <c r="A105" s="87"/>
      <c r="B105" s="55" t="s">
        <v>64</v>
      </c>
      <c r="C105" s="56" t="s">
        <v>31</v>
      </c>
      <c r="D105" s="57">
        <v>4</v>
      </c>
      <c r="E105" s="85" t="s">
        <v>164</v>
      </c>
      <c r="F105" s="26">
        <f t="shared" si="26"/>
        <v>0.4</v>
      </c>
      <c r="G105" s="26">
        <v>0</v>
      </c>
      <c r="H105" s="26">
        <f t="shared" si="24"/>
        <v>0.4</v>
      </c>
      <c r="I105" s="79">
        <v>0</v>
      </c>
      <c r="J105" s="79">
        <v>0</v>
      </c>
      <c r="K105" s="79">
        <v>0</v>
      </c>
      <c r="L105" s="79">
        <v>0</v>
      </c>
      <c r="M105" s="79">
        <f t="shared" si="25"/>
        <v>0</v>
      </c>
      <c r="N105" s="80"/>
      <c r="O105" s="81"/>
      <c r="P105" s="87"/>
    </row>
    <row r="106" spans="1:16" ht="24" customHeight="1" x14ac:dyDescent="0.3">
      <c r="A106" s="75"/>
      <c r="B106" s="71"/>
      <c r="C106" s="72"/>
      <c r="D106" s="73">
        <f>SUM(D97:D105)</f>
        <v>93.850000000000009</v>
      </c>
      <c r="E106" s="74"/>
      <c r="F106" s="73">
        <f t="shared" ref="F106:K106" si="27">SUM(F97:F105)</f>
        <v>10.385</v>
      </c>
      <c r="G106" s="83">
        <f t="shared" si="27"/>
        <v>1.0266</v>
      </c>
      <c r="H106" s="73">
        <f t="shared" si="27"/>
        <v>11.4116</v>
      </c>
      <c r="I106" s="83">
        <f t="shared" si="27"/>
        <v>0</v>
      </c>
      <c r="J106" s="83">
        <f t="shared" si="27"/>
        <v>3</v>
      </c>
      <c r="K106" s="83">
        <f t="shared" si="27"/>
        <v>1</v>
      </c>
      <c r="L106" s="83">
        <f>SUM(L72:L82)</f>
        <v>0</v>
      </c>
      <c r="M106" s="83">
        <f>SUM(M97:M105)</f>
        <v>4</v>
      </c>
      <c r="N106" s="76"/>
      <c r="O106" s="77"/>
      <c r="P106" s="75"/>
    </row>
    <row r="107" spans="1:16" ht="24" customHeight="1" x14ac:dyDescent="0.3">
      <c r="A107" s="103">
        <v>6</v>
      </c>
      <c r="B107" s="104" t="s">
        <v>116</v>
      </c>
      <c r="C107" s="104"/>
      <c r="D107" s="105"/>
      <c r="E107" s="106"/>
      <c r="F107" s="105"/>
      <c r="G107" s="107"/>
      <c r="H107" s="105"/>
      <c r="I107" s="107"/>
      <c r="J107" s="107"/>
      <c r="K107" s="107"/>
      <c r="L107" s="107"/>
      <c r="M107" s="107"/>
      <c r="N107" s="114"/>
      <c r="O107" s="112"/>
      <c r="P107" s="104"/>
    </row>
    <row r="108" spans="1:16" ht="40.5" customHeight="1" x14ac:dyDescent="0.3">
      <c r="A108" s="16"/>
      <c r="B108" s="98" t="s">
        <v>57</v>
      </c>
      <c r="C108" s="99" t="s">
        <v>30</v>
      </c>
      <c r="D108" s="96">
        <v>24.5</v>
      </c>
      <c r="E108" s="101" t="s">
        <v>188</v>
      </c>
      <c r="F108" s="96">
        <f>3%*D108</f>
        <v>0.73499999999999999</v>
      </c>
      <c r="G108" s="97">
        <v>0</v>
      </c>
      <c r="H108" s="96">
        <f t="shared" ref="H108:H113" si="28">SUM(F108:G108)</f>
        <v>0.73499999999999999</v>
      </c>
      <c r="I108" s="97">
        <v>0</v>
      </c>
      <c r="J108" s="97"/>
      <c r="K108" s="97">
        <v>0</v>
      </c>
      <c r="L108" s="97">
        <v>0</v>
      </c>
      <c r="M108" s="97">
        <f>SUM(I108:L108)</f>
        <v>0</v>
      </c>
      <c r="N108" s="35"/>
      <c r="O108" s="40" t="s">
        <v>189</v>
      </c>
      <c r="P108" s="16"/>
    </row>
    <row r="109" spans="1:16" ht="24" customHeight="1" x14ac:dyDescent="0.3">
      <c r="A109" s="16"/>
      <c r="B109" s="98"/>
      <c r="C109" s="99"/>
      <c r="D109" s="96"/>
      <c r="E109" s="100" t="s">
        <v>182</v>
      </c>
      <c r="F109" s="96">
        <v>3</v>
      </c>
      <c r="G109" s="97">
        <v>0</v>
      </c>
      <c r="H109" s="96">
        <f t="shared" si="28"/>
        <v>3</v>
      </c>
      <c r="I109" s="97">
        <v>0</v>
      </c>
      <c r="J109" s="97"/>
      <c r="K109" s="97">
        <v>0</v>
      </c>
      <c r="L109" s="97">
        <v>0</v>
      </c>
      <c r="M109" s="97">
        <f>SUM(I109:L109)</f>
        <v>0</v>
      </c>
      <c r="N109" s="35"/>
      <c r="O109" s="36" t="s">
        <v>215</v>
      </c>
      <c r="P109" s="16"/>
    </row>
    <row r="110" spans="1:16" ht="24" customHeight="1" x14ac:dyDescent="0.3">
      <c r="A110" s="16"/>
      <c r="B110" s="14" t="s">
        <v>58</v>
      </c>
      <c r="C110" s="15" t="s">
        <v>44</v>
      </c>
      <c r="D110" s="26">
        <v>72.03</v>
      </c>
      <c r="E110" s="47" t="s">
        <v>182</v>
      </c>
      <c r="F110" s="26">
        <f>9%*D110</f>
        <v>6.4826999999999995</v>
      </c>
      <c r="G110" s="19">
        <v>0</v>
      </c>
      <c r="H110" s="26">
        <f t="shared" si="28"/>
        <v>6.4826999999999995</v>
      </c>
      <c r="I110" s="19">
        <v>0</v>
      </c>
      <c r="J110" s="19">
        <v>2</v>
      </c>
      <c r="K110" s="19">
        <v>0</v>
      </c>
      <c r="L110" s="19">
        <v>0</v>
      </c>
      <c r="M110" s="19">
        <f t="shared" ref="M110:M113" si="29">SUM(I110:L110)</f>
        <v>2</v>
      </c>
      <c r="N110" s="35"/>
      <c r="O110" s="36"/>
      <c r="P110" s="16"/>
    </row>
    <row r="111" spans="1:16" ht="24" customHeight="1" x14ac:dyDescent="0.3">
      <c r="A111" s="16"/>
      <c r="B111" s="14"/>
      <c r="C111" s="15"/>
      <c r="D111" s="26"/>
      <c r="E111" s="101" t="s">
        <v>181</v>
      </c>
      <c r="F111" s="96">
        <v>3</v>
      </c>
      <c r="G111" s="97">
        <v>0</v>
      </c>
      <c r="H111" s="96">
        <f t="shared" si="28"/>
        <v>3</v>
      </c>
      <c r="I111" s="97">
        <v>0</v>
      </c>
      <c r="J111" s="97"/>
      <c r="K111" s="97">
        <v>0</v>
      </c>
      <c r="L111" s="97">
        <v>0</v>
      </c>
      <c r="M111" s="97">
        <f>SUM(I111:L111)</f>
        <v>0</v>
      </c>
      <c r="N111" s="35"/>
      <c r="O111" s="36"/>
      <c r="P111" s="16"/>
    </row>
    <row r="112" spans="1:16" ht="24" customHeight="1" x14ac:dyDescent="0.3">
      <c r="A112" s="16"/>
      <c r="B112" s="14" t="s">
        <v>59</v>
      </c>
      <c r="C112" s="15" t="s">
        <v>33</v>
      </c>
      <c r="D112" s="26">
        <v>14.2</v>
      </c>
      <c r="E112" s="101" t="s">
        <v>181</v>
      </c>
      <c r="F112" s="26">
        <f>9%*D112</f>
        <v>1.2779999999999998</v>
      </c>
      <c r="G112" s="19">
        <v>0</v>
      </c>
      <c r="H112" s="26">
        <f t="shared" si="28"/>
        <v>1.2779999999999998</v>
      </c>
      <c r="I112" s="19">
        <v>0</v>
      </c>
      <c r="J112" s="19"/>
      <c r="K112" s="19"/>
      <c r="L112" s="19">
        <v>0</v>
      </c>
      <c r="M112" s="19">
        <f t="shared" si="29"/>
        <v>0</v>
      </c>
      <c r="N112" s="35"/>
      <c r="O112" s="36"/>
      <c r="P112" s="16"/>
    </row>
    <row r="113" spans="1:16" ht="40.5" customHeight="1" x14ac:dyDescent="0.3">
      <c r="A113" s="108"/>
      <c r="B113" s="128" t="s">
        <v>61</v>
      </c>
      <c r="C113" s="126" t="s">
        <v>35</v>
      </c>
      <c r="D113" s="127">
        <v>35.72</v>
      </c>
      <c r="E113" s="142" t="s">
        <v>183</v>
      </c>
      <c r="F113" s="127">
        <f>8%*D113</f>
        <v>2.8576000000000001</v>
      </c>
      <c r="G113" s="143">
        <v>0</v>
      </c>
      <c r="H113" s="127">
        <f t="shared" si="28"/>
        <v>2.8576000000000001</v>
      </c>
      <c r="I113" s="143">
        <v>0</v>
      </c>
      <c r="J113" s="143">
        <v>0</v>
      </c>
      <c r="K113" s="143">
        <v>0</v>
      </c>
      <c r="L113" s="143">
        <v>0</v>
      </c>
      <c r="M113" s="143">
        <f t="shared" si="29"/>
        <v>0</v>
      </c>
      <c r="N113" s="115"/>
      <c r="O113" s="113"/>
      <c r="P113" s="108"/>
    </row>
    <row r="114" spans="1:16" ht="24" customHeight="1" x14ac:dyDescent="0.3">
      <c r="A114" s="75"/>
      <c r="B114" s="136"/>
      <c r="C114" s="137"/>
      <c r="D114" s="138">
        <f>SUM(D108:D113)</f>
        <v>146.44999999999999</v>
      </c>
      <c r="E114" s="139"/>
      <c r="F114" s="138">
        <f>SUM(F108:F113)</f>
        <v>17.353300000000001</v>
      </c>
      <c r="G114" s="140">
        <f>SUM(G108:G113)</f>
        <v>0</v>
      </c>
      <c r="H114" s="138">
        <f>SUM(H108:H113)</f>
        <v>17.353300000000001</v>
      </c>
      <c r="I114" s="140"/>
      <c r="J114" s="140"/>
      <c r="K114" s="140"/>
      <c r="L114" s="140"/>
      <c r="M114" s="140"/>
      <c r="N114" s="76"/>
      <c r="O114" s="77"/>
      <c r="P114" s="75"/>
    </row>
    <row r="115" spans="1:16" ht="24" customHeight="1" x14ac:dyDescent="0.3">
      <c r="A115" s="63">
        <v>7</v>
      </c>
      <c r="B115" s="8" t="s">
        <v>117</v>
      </c>
      <c r="C115" s="10"/>
      <c r="D115" s="90"/>
      <c r="E115" s="67"/>
      <c r="F115" s="66"/>
      <c r="G115" s="82"/>
      <c r="H115" s="66"/>
      <c r="I115" s="82"/>
      <c r="J115" s="82"/>
      <c r="K115" s="82"/>
      <c r="L115" s="82"/>
      <c r="M115" s="82"/>
      <c r="N115" s="69"/>
      <c r="O115" s="70"/>
      <c r="P115" s="5"/>
    </row>
    <row r="116" spans="1:16" ht="24" customHeight="1" x14ac:dyDescent="0.3">
      <c r="A116" s="16"/>
      <c r="B116" s="14" t="s">
        <v>57</v>
      </c>
      <c r="C116" s="15" t="s">
        <v>22</v>
      </c>
      <c r="D116" s="26">
        <v>296.95</v>
      </c>
      <c r="E116" s="101" t="s">
        <v>203</v>
      </c>
      <c r="F116" s="96">
        <f>10%*D116</f>
        <v>29.695</v>
      </c>
      <c r="G116" s="97">
        <v>0</v>
      </c>
      <c r="H116" s="96">
        <f t="shared" ref="H116:H126" si="30">SUM(F116:G116)</f>
        <v>29.695</v>
      </c>
      <c r="I116" s="97">
        <v>0</v>
      </c>
      <c r="J116" s="97">
        <v>10</v>
      </c>
      <c r="K116" s="97">
        <v>0</v>
      </c>
      <c r="L116" s="97">
        <v>3</v>
      </c>
      <c r="M116" s="97">
        <f>SUM(I116:L116)</f>
        <v>13</v>
      </c>
      <c r="N116" s="35"/>
      <c r="O116" s="40" t="s">
        <v>211</v>
      </c>
      <c r="P116" s="87"/>
    </row>
    <row r="117" spans="1:16" ht="24" customHeight="1" x14ac:dyDescent="0.3">
      <c r="A117" s="16"/>
      <c r="B117" s="14"/>
      <c r="C117" s="15"/>
      <c r="D117" s="26"/>
      <c r="E117" s="101" t="s">
        <v>220</v>
      </c>
      <c r="F117" s="96">
        <f>15%*D116</f>
        <v>44.542499999999997</v>
      </c>
      <c r="G117" s="97"/>
      <c r="H117" s="96">
        <f>SUM(F117:G117)</f>
        <v>44.542499999999997</v>
      </c>
      <c r="I117" s="97"/>
      <c r="J117" s="97"/>
      <c r="K117" s="97"/>
      <c r="L117" s="97"/>
      <c r="M117" s="97"/>
      <c r="N117" s="35"/>
      <c r="O117" s="40"/>
      <c r="P117" s="87"/>
    </row>
    <row r="118" spans="1:16" ht="27" customHeight="1" x14ac:dyDescent="0.3">
      <c r="A118" s="16"/>
      <c r="B118" s="14" t="s">
        <v>58</v>
      </c>
      <c r="C118" s="15" t="s">
        <v>42</v>
      </c>
      <c r="D118" s="26">
        <v>190.5</v>
      </c>
      <c r="E118" s="101" t="s">
        <v>203</v>
      </c>
      <c r="F118" s="96">
        <f>10%*D118</f>
        <v>19.05</v>
      </c>
      <c r="G118" s="97">
        <v>0</v>
      </c>
      <c r="H118" s="96">
        <f t="shared" si="30"/>
        <v>19.05</v>
      </c>
      <c r="I118" s="97">
        <v>0</v>
      </c>
      <c r="J118" s="97"/>
      <c r="K118" s="97">
        <v>0</v>
      </c>
      <c r="L118" s="97">
        <v>2</v>
      </c>
      <c r="M118" s="97">
        <f>SUM(I118:L118)</f>
        <v>2</v>
      </c>
      <c r="N118" s="35"/>
      <c r="O118" s="40" t="s">
        <v>219</v>
      </c>
      <c r="P118" s="87"/>
    </row>
    <row r="119" spans="1:16" ht="24" customHeight="1" x14ac:dyDescent="0.3">
      <c r="A119" s="16"/>
      <c r="B119" s="14"/>
      <c r="C119" s="15"/>
      <c r="D119" s="26"/>
      <c r="E119" s="101" t="s">
        <v>220</v>
      </c>
      <c r="F119" s="96">
        <f>15%*D118</f>
        <v>28.574999999999999</v>
      </c>
      <c r="G119" s="97"/>
      <c r="H119" s="96">
        <f>SUM(F119:G119)</f>
        <v>28.574999999999999</v>
      </c>
      <c r="I119" s="97"/>
      <c r="J119" s="97"/>
      <c r="K119" s="97"/>
      <c r="L119" s="97"/>
      <c r="M119" s="97"/>
      <c r="N119" s="35"/>
      <c r="O119" s="40"/>
      <c r="P119" s="87"/>
    </row>
    <row r="120" spans="1:16" ht="24" customHeight="1" x14ac:dyDescent="0.3">
      <c r="A120" s="16"/>
      <c r="B120" s="14" t="s">
        <v>59</v>
      </c>
      <c r="C120" s="15" t="s">
        <v>21</v>
      </c>
      <c r="D120" s="18" t="s">
        <v>201</v>
      </c>
      <c r="E120" s="101" t="s">
        <v>203</v>
      </c>
      <c r="F120" s="96">
        <v>3</v>
      </c>
      <c r="G120" s="97">
        <v>0</v>
      </c>
      <c r="H120" s="96">
        <f t="shared" si="30"/>
        <v>3</v>
      </c>
      <c r="I120" s="97">
        <v>0</v>
      </c>
      <c r="J120" s="97"/>
      <c r="K120" s="97">
        <v>0</v>
      </c>
      <c r="L120" s="97">
        <v>0</v>
      </c>
      <c r="M120" s="97">
        <f>SUM(I120:L120)</f>
        <v>0</v>
      </c>
      <c r="N120" s="35"/>
      <c r="O120" s="36"/>
      <c r="P120" s="87"/>
    </row>
    <row r="121" spans="1:16" ht="24" customHeight="1" x14ac:dyDescent="0.3">
      <c r="A121" s="16"/>
      <c r="B121" s="14"/>
      <c r="C121" s="15"/>
      <c r="D121" s="18"/>
      <c r="E121" s="101" t="s">
        <v>220</v>
      </c>
      <c r="F121" s="134">
        <v>15</v>
      </c>
      <c r="G121" s="97"/>
      <c r="H121" s="96">
        <f>SUM(F121:G121)</f>
        <v>15</v>
      </c>
      <c r="I121" s="97"/>
      <c r="J121" s="97"/>
      <c r="K121" s="97"/>
      <c r="L121" s="97"/>
      <c r="M121" s="97"/>
      <c r="N121" s="35"/>
      <c r="O121" s="36"/>
      <c r="P121" s="87"/>
    </row>
    <row r="122" spans="1:16" ht="24" customHeight="1" x14ac:dyDescent="0.3">
      <c r="A122" s="16"/>
      <c r="B122" s="14" t="s">
        <v>60</v>
      </c>
      <c r="C122" s="15" t="s">
        <v>43</v>
      </c>
      <c r="D122" s="26">
        <v>244.8</v>
      </c>
      <c r="E122" s="101" t="s">
        <v>221</v>
      </c>
      <c r="F122" s="96">
        <f>10%*D122</f>
        <v>24.480000000000004</v>
      </c>
      <c r="G122" s="97">
        <v>0</v>
      </c>
      <c r="H122" s="96">
        <f t="shared" si="30"/>
        <v>24.480000000000004</v>
      </c>
      <c r="I122" s="97">
        <v>0</v>
      </c>
      <c r="J122" s="97">
        <v>10</v>
      </c>
      <c r="K122" s="97">
        <v>0</v>
      </c>
      <c r="L122" s="97">
        <v>4</v>
      </c>
      <c r="M122" s="97">
        <f>SUM(I122:L122)</f>
        <v>14</v>
      </c>
      <c r="N122" s="35"/>
      <c r="O122" s="36"/>
      <c r="P122" s="87"/>
    </row>
    <row r="123" spans="1:16" ht="24" customHeight="1" x14ac:dyDescent="0.3">
      <c r="A123" s="16"/>
      <c r="B123" s="14"/>
      <c r="C123" s="15"/>
      <c r="D123" s="26"/>
      <c r="E123" s="101" t="s">
        <v>220</v>
      </c>
      <c r="F123" s="96"/>
      <c r="G123" s="96">
        <f>20%*D122</f>
        <v>48.960000000000008</v>
      </c>
      <c r="H123" s="96">
        <f>SUM(F123:G123)</f>
        <v>48.960000000000008</v>
      </c>
      <c r="I123" s="97"/>
      <c r="J123" s="97"/>
      <c r="K123" s="97"/>
      <c r="L123" s="97"/>
      <c r="M123" s="97"/>
      <c r="N123" s="35"/>
      <c r="O123" s="36"/>
      <c r="P123" s="87"/>
    </row>
    <row r="124" spans="1:16" ht="24" customHeight="1" x14ac:dyDescent="0.3">
      <c r="A124" s="16"/>
      <c r="B124" s="14" t="s">
        <v>61</v>
      </c>
      <c r="C124" s="15" t="s">
        <v>44</v>
      </c>
      <c r="D124" s="26">
        <v>57.95</v>
      </c>
      <c r="E124" s="101" t="s">
        <v>203</v>
      </c>
      <c r="F124" s="26">
        <f>10%*D124</f>
        <v>5.7950000000000008</v>
      </c>
      <c r="G124" s="19">
        <v>0</v>
      </c>
      <c r="H124" s="26">
        <f t="shared" si="30"/>
        <v>5.7950000000000008</v>
      </c>
      <c r="I124" s="19">
        <v>0</v>
      </c>
      <c r="J124" s="19"/>
      <c r="K124" s="19"/>
      <c r="L124" s="19">
        <v>0</v>
      </c>
      <c r="M124" s="19">
        <f t="shared" ref="M124:M126" si="31">SUM(I124:L124)</f>
        <v>0</v>
      </c>
      <c r="N124" s="35"/>
      <c r="O124" s="36"/>
      <c r="P124" s="87"/>
    </row>
    <row r="125" spans="1:16" ht="24" customHeight="1" x14ac:dyDescent="0.3">
      <c r="A125" s="16"/>
      <c r="B125" s="14"/>
      <c r="C125" s="15"/>
      <c r="D125" s="26"/>
      <c r="E125" s="101" t="s">
        <v>220</v>
      </c>
      <c r="F125" s="26"/>
      <c r="G125" s="26">
        <f>10%*D124</f>
        <v>5.7950000000000008</v>
      </c>
      <c r="H125" s="26">
        <f>SUM(F125:G125)</f>
        <v>5.7950000000000008</v>
      </c>
      <c r="I125" s="97">
        <v>0</v>
      </c>
      <c r="J125" s="97">
        <v>0</v>
      </c>
      <c r="K125" s="97">
        <v>0</v>
      </c>
      <c r="L125" s="97">
        <v>0</v>
      </c>
      <c r="M125" s="97">
        <f t="shared" ref="M125" si="32">SUM(I125:L125)</f>
        <v>0</v>
      </c>
      <c r="N125" s="35"/>
      <c r="O125" s="36"/>
      <c r="P125" s="87"/>
    </row>
    <row r="126" spans="1:16" ht="24" customHeight="1" x14ac:dyDescent="0.3">
      <c r="A126" s="16"/>
      <c r="B126" s="14" t="s">
        <v>62</v>
      </c>
      <c r="C126" s="15" t="s">
        <v>27</v>
      </c>
      <c r="D126" s="26">
        <v>2.5</v>
      </c>
      <c r="E126" s="101" t="s">
        <v>203</v>
      </c>
      <c r="F126" s="96">
        <f>10%*D126</f>
        <v>0.25</v>
      </c>
      <c r="G126" s="97">
        <v>0</v>
      </c>
      <c r="H126" s="96">
        <f t="shared" si="30"/>
        <v>0.25</v>
      </c>
      <c r="I126" s="97">
        <v>0</v>
      </c>
      <c r="J126" s="97">
        <v>0</v>
      </c>
      <c r="K126" s="97">
        <v>0</v>
      </c>
      <c r="L126" s="97">
        <v>0</v>
      </c>
      <c r="M126" s="97">
        <f t="shared" si="31"/>
        <v>0</v>
      </c>
      <c r="N126" s="35"/>
      <c r="O126" s="36"/>
      <c r="P126" s="87"/>
    </row>
    <row r="127" spans="1:16" ht="24" customHeight="1" x14ac:dyDescent="0.3">
      <c r="A127" s="87"/>
      <c r="B127" s="55"/>
      <c r="C127" s="56"/>
      <c r="D127" s="57"/>
      <c r="E127" s="132" t="s">
        <v>220</v>
      </c>
      <c r="F127" s="124">
        <f>10%*D126</f>
        <v>0.25</v>
      </c>
      <c r="G127" s="124">
        <f>20%*D126</f>
        <v>0.5</v>
      </c>
      <c r="H127" s="124">
        <f>SUM(F127:G127)</f>
        <v>0.75</v>
      </c>
      <c r="I127" s="133">
        <v>0</v>
      </c>
      <c r="J127" s="133">
        <v>0</v>
      </c>
      <c r="K127" s="133">
        <v>0</v>
      </c>
      <c r="L127" s="133">
        <v>0</v>
      </c>
      <c r="M127" s="133">
        <f t="shared" ref="M127" si="33">SUM(I127:L127)</f>
        <v>0</v>
      </c>
      <c r="N127" s="80"/>
      <c r="O127" s="81"/>
      <c r="P127" s="87"/>
    </row>
    <row r="128" spans="1:16" ht="26.25" customHeight="1" x14ac:dyDescent="0.3">
      <c r="A128" s="75"/>
      <c r="B128" s="71"/>
      <c r="C128" s="72"/>
      <c r="D128" s="73">
        <f>SUM(D116:D127)</f>
        <v>792.7</v>
      </c>
      <c r="E128" s="74"/>
      <c r="F128" s="73">
        <f>SUM(F108:F127)</f>
        <v>205.3441</v>
      </c>
      <c r="G128" s="83">
        <f>SUM(G108:G127)</f>
        <v>55.25500000000001</v>
      </c>
      <c r="H128" s="73">
        <f>SUM(H108:H127)</f>
        <v>260.59910000000002</v>
      </c>
      <c r="I128" s="83"/>
      <c r="J128" s="83"/>
      <c r="K128" s="83"/>
      <c r="L128" s="83"/>
      <c r="M128" s="83"/>
      <c r="N128" s="71"/>
      <c r="O128" s="72"/>
      <c r="P128" s="75"/>
    </row>
    <row r="129" spans="1:15" ht="8.25" customHeight="1" x14ac:dyDescent="0.3">
      <c r="F129" s="2"/>
      <c r="G129" s="2"/>
      <c r="H129" s="2"/>
      <c r="I129" s="2"/>
      <c r="J129" s="2"/>
      <c r="K129" s="2"/>
      <c r="L129" s="2"/>
      <c r="M129" s="2"/>
    </row>
    <row r="130" spans="1:15" ht="14.25" customHeight="1" x14ac:dyDescent="0.3">
      <c r="F130" s="2"/>
      <c r="G130" s="2"/>
      <c r="H130" s="2"/>
      <c r="I130" s="2"/>
      <c r="J130" s="2" t="s">
        <v>218</v>
      </c>
      <c r="K130" s="2"/>
      <c r="L130" s="2"/>
      <c r="M130" s="2"/>
    </row>
    <row r="131" spans="1:15" ht="12" customHeight="1" x14ac:dyDescent="0.3">
      <c r="A131" s="395" t="s">
        <v>80</v>
      </c>
      <c r="B131" s="395"/>
      <c r="C131" s="395"/>
      <c r="D131" s="395"/>
    </row>
    <row r="132" spans="1:15" x14ac:dyDescent="0.3">
      <c r="A132" s="395" t="s">
        <v>81</v>
      </c>
      <c r="B132" s="395"/>
      <c r="C132" s="395"/>
      <c r="D132" s="395"/>
      <c r="J132" s="1" t="s">
        <v>85</v>
      </c>
    </row>
    <row r="133" spans="1:15" x14ac:dyDescent="0.3">
      <c r="A133" s="395" t="s">
        <v>82</v>
      </c>
      <c r="B133" s="395"/>
      <c r="C133" s="395"/>
      <c r="D133" s="395"/>
      <c r="J133" s="3" t="s">
        <v>86</v>
      </c>
      <c r="K133" s="1" t="s">
        <v>87</v>
      </c>
      <c r="O133" s="1" t="s">
        <v>90</v>
      </c>
    </row>
    <row r="134" spans="1:15" x14ac:dyDescent="0.3">
      <c r="A134" s="395" t="s">
        <v>83</v>
      </c>
      <c r="B134" s="395"/>
      <c r="C134" s="395"/>
      <c r="D134" s="395"/>
      <c r="K134" s="1" t="s">
        <v>91</v>
      </c>
    </row>
    <row r="135" spans="1:15" ht="13.5" customHeight="1" x14ac:dyDescent="0.3"/>
    <row r="136" spans="1:15" ht="13.5" customHeight="1" x14ac:dyDescent="0.3"/>
    <row r="137" spans="1:15" x14ac:dyDescent="0.3">
      <c r="A137" s="398" t="s">
        <v>175</v>
      </c>
      <c r="B137" s="398"/>
      <c r="C137" s="398"/>
      <c r="D137" s="398"/>
      <c r="J137" s="3" t="s">
        <v>88</v>
      </c>
      <c r="K137" s="1" t="s">
        <v>89</v>
      </c>
      <c r="O137" s="1" t="s">
        <v>90</v>
      </c>
    </row>
    <row r="138" spans="1:15" x14ac:dyDescent="0.3">
      <c r="A138" s="395" t="s">
        <v>190</v>
      </c>
      <c r="B138" s="395"/>
      <c r="C138" s="395"/>
      <c r="D138" s="395"/>
      <c r="K138" s="1" t="s">
        <v>92</v>
      </c>
    </row>
  </sheetData>
  <mergeCells count="17">
    <mergeCell ref="A138:D138"/>
    <mergeCell ref="O20:O23"/>
    <mergeCell ref="A131:D131"/>
    <mergeCell ref="A132:D132"/>
    <mergeCell ref="A133:D133"/>
    <mergeCell ref="A134:D134"/>
    <mergeCell ref="A137:D137"/>
    <mergeCell ref="A1:P1"/>
    <mergeCell ref="A6:A7"/>
    <mergeCell ref="B6:C6"/>
    <mergeCell ref="D6:D7"/>
    <mergeCell ref="E6:E7"/>
    <mergeCell ref="F6:H6"/>
    <mergeCell ref="I6:M6"/>
    <mergeCell ref="N6:O7"/>
    <mergeCell ref="P6:P7"/>
    <mergeCell ref="B7:C7"/>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P142"/>
  <sheetViews>
    <sheetView tabSelected="1" view="pageBreakPreview" topLeftCell="A130" zoomScale="96" zoomScaleNormal="100" zoomScaleSheetLayoutView="96" workbookViewId="0">
      <selection activeCell="O116" sqref="O116"/>
    </sheetView>
  </sheetViews>
  <sheetFormatPr defaultColWidth="9.1796875" defaultRowHeight="14" x14ac:dyDescent="0.3"/>
  <cols>
    <col min="1" max="1" width="9" style="1" customWidth="1"/>
    <col min="2" max="2" width="2.1796875" style="1" customWidth="1"/>
    <col min="3" max="3" width="19" style="1" customWidth="1"/>
    <col min="4" max="4" width="11.54296875" style="1" customWidth="1"/>
    <col min="5" max="5" width="27" style="1" customWidth="1"/>
    <col min="6" max="6" width="9" style="1" bestFit="1" customWidth="1"/>
    <col min="7" max="7" width="8.81640625" style="1" customWidth="1"/>
    <col min="8" max="8" width="9" style="1" customWidth="1"/>
    <col min="9" max="9" width="6.453125" style="1" bestFit="1" customWidth="1"/>
    <col min="10" max="10" width="6.81640625" style="1" bestFit="1" customWidth="1"/>
    <col min="11" max="11" width="8.26953125" style="1" customWidth="1"/>
    <col min="12" max="12" width="5.54296875" style="1" bestFit="1" customWidth="1"/>
    <col min="13" max="13" width="6.81640625" style="1" bestFit="1" customWidth="1"/>
    <col min="14" max="14" width="2.1796875" style="1" customWidth="1"/>
    <col min="15" max="15" width="27.81640625" style="1" customWidth="1"/>
    <col min="16" max="16" width="10.26953125" style="1" customWidth="1"/>
    <col min="17" max="16384" width="9.1796875" style="1"/>
  </cols>
  <sheetData>
    <row r="1" spans="1:16" x14ac:dyDescent="0.3">
      <c r="A1" s="385" t="s">
        <v>177</v>
      </c>
      <c r="B1" s="385"/>
      <c r="C1" s="385"/>
      <c r="D1" s="385"/>
      <c r="E1" s="385"/>
      <c r="F1" s="385"/>
      <c r="G1" s="385"/>
      <c r="H1" s="385"/>
      <c r="I1" s="385"/>
      <c r="J1" s="385"/>
      <c r="K1" s="385"/>
      <c r="L1" s="385"/>
      <c r="M1" s="385"/>
      <c r="N1" s="385"/>
      <c r="O1" s="385"/>
      <c r="P1" s="385"/>
    </row>
    <row r="2" spans="1:16" ht="14.25" customHeight="1" x14ac:dyDescent="0.3"/>
    <row r="3" spans="1:16" ht="14.25" customHeight="1" x14ac:dyDescent="0.3">
      <c r="A3" s="1" t="s">
        <v>1</v>
      </c>
      <c r="B3" s="1" t="s">
        <v>78</v>
      </c>
      <c r="C3" s="1" t="s">
        <v>77</v>
      </c>
    </row>
    <row r="4" spans="1:16" ht="14.25" customHeight="1" x14ac:dyDescent="0.3">
      <c r="A4" s="1" t="s">
        <v>2</v>
      </c>
      <c r="B4" s="1" t="s">
        <v>78</v>
      </c>
      <c r="C4" s="4" t="s">
        <v>231</v>
      </c>
    </row>
    <row r="6" spans="1:16" x14ac:dyDescent="0.3">
      <c r="A6" s="386" t="s">
        <v>3</v>
      </c>
      <c r="B6" s="388" t="s">
        <v>4</v>
      </c>
      <c r="C6" s="388"/>
      <c r="D6" s="389" t="s">
        <v>6</v>
      </c>
      <c r="E6" s="391" t="s">
        <v>7</v>
      </c>
      <c r="F6" s="393" t="s">
        <v>170</v>
      </c>
      <c r="G6" s="393"/>
      <c r="H6" s="393"/>
      <c r="I6" s="393" t="s">
        <v>12</v>
      </c>
      <c r="J6" s="393"/>
      <c r="K6" s="393"/>
      <c r="L6" s="393"/>
      <c r="M6" s="393"/>
      <c r="N6" s="391" t="s">
        <v>17</v>
      </c>
      <c r="O6" s="391"/>
      <c r="P6" s="386" t="s">
        <v>192</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ht="18.75" customHeight="1" x14ac:dyDescent="0.3">
      <c r="A9" s="13">
        <v>1</v>
      </c>
      <c r="B9" s="14" t="s">
        <v>20</v>
      </c>
      <c r="C9" s="15"/>
      <c r="D9" s="16"/>
      <c r="E9" s="47"/>
      <c r="F9" s="16"/>
      <c r="G9" s="16"/>
      <c r="H9" s="16"/>
      <c r="I9" s="16"/>
      <c r="J9" s="16"/>
      <c r="K9" s="16"/>
      <c r="L9" s="16"/>
      <c r="M9" s="16"/>
      <c r="N9" s="35"/>
      <c r="O9" s="36"/>
      <c r="P9" s="16"/>
    </row>
    <row r="10" spans="1:16" ht="18.75" customHeight="1" x14ac:dyDescent="0.3">
      <c r="A10" s="13"/>
      <c r="B10" s="17" t="s">
        <v>57</v>
      </c>
      <c r="C10" s="15" t="s">
        <v>21</v>
      </c>
      <c r="D10" s="18">
        <v>409.08</v>
      </c>
      <c r="E10" s="47" t="s">
        <v>36</v>
      </c>
      <c r="F10" s="26">
        <f>10%*D10</f>
        <v>40.908000000000001</v>
      </c>
      <c r="G10" s="26">
        <f>5%*D10</f>
        <v>20.454000000000001</v>
      </c>
      <c r="H10" s="26">
        <f>SUM(F10:G10)</f>
        <v>61.362000000000002</v>
      </c>
      <c r="I10" s="19">
        <v>0</v>
      </c>
      <c r="J10" s="19"/>
      <c r="K10" s="19">
        <v>2</v>
      </c>
      <c r="L10" s="19"/>
      <c r="M10" s="20">
        <f>SUM(I10:L10)</f>
        <v>2</v>
      </c>
      <c r="N10" s="37"/>
      <c r="O10" s="36"/>
      <c r="P10" s="16"/>
    </row>
    <row r="11" spans="1:16" ht="18.75" customHeight="1" x14ac:dyDescent="0.3">
      <c r="A11" s="13"/>
      <c r="B11" s="14"/>
      <c r="C11" s="15"/>
      <c r="D11" s="18"/>
      <c r="E11" s="47" t="s">
        <v>37</v>
      </c>
      <c r="F11" s="26">
        <f>15%*D10</f>
        <v>61.361999999999995</v>
      </c>
      <c r="G11" s="26">
        <f>15%*D10</f>
        <v>61.361999999999995</v>
      </c>
      <c r="H11" s="26">
        <f>SUM(F11:G11)</f>
        <v>122.72399999999999</v>
      </c>
      <c r="I11" s="19">
        <v>0</v>
      </c>
      <c r="J11" s="19">
        <v>0</v>
      </c>
      <c r="K11" s="19">
        <v>4</v>
      </c>
      <c r="L11" s="19">
        <v>0</v>
      </c>
      <c r="M11" s="20">
        <f t="shared" ref="M11:M17" si="0">SUM(I11:L11)</f>
        <v>4</v>
      </c>
      <c r="N11" s="37" t="s">
        <v>51</v>
      </c>
      <c r="O11" s="38" t="s">
        <v>50</v>
      </c>
      <c r="P11" s="16"/>
    </row>
    <row r="12" spans="1:16" ht="18.75" customHeight="1" x14ac:dyDescent="0.3">
      <c r="A12" s="13"/>
      <c r="B12" s="14"/>
      <c r="C12" s="15"/>
      <c r="D12" s="18"/>
      <c r="E12" s="47" t="s">
        <v>38</v>
      </c>
      <c r="F12" s="26">
        <f>10%*D10</f>
        <v>40.908000000000001</v>
      </c>
      <c r="G12" s="26">
        <f>5%*D10</f>
        <v>20.454000000000001</v>
      </c>
      <c r="H12" s="26">
        <f>SUM(F12:G12)</f>
        <v>61.362000000000002</v>
      </c>
      <c r="I12" s="19">
        <v>0</v>
      </c>
      <c r="J12" s="19"/>
      <c r="K12" s="19">
        <v>4</v>
      </c>
      <c r="L12" s="19">
        <v>0</v>
      </c>
      <c r="M12" s="20">
        <f t="shared" si="0"/>
        <v>4</v>
      </c>
      <c r="N12" s="37" t="s">
        <v>51</v>
      </c>
      <c r="O12" s="36" t="s">
        <v>49</v>
      </c>
      <c r="P12" s="16"/>
    </row>
    <row r="13" spans="1:16" ht="28.5" customHeight="1" x14ac:dyDescent="0.3">
      <c r="A13" s="13"/>
      <c r="B13" s="14"/>
      <c r="C13" s="15"/>
      <c r="D13" s="18"/>
      <c r="E13" s="48" t="s">
        <v>39</v>
      </c>
      <c r="F13" s="26">
        <f>50%*D10</f>
        <v>204.54</v>
      </c>
      <c r="G13" s="26">
        <f>5%*D10</f>
        <v>20.454000000000001</v>
      </c>
      <c r="H13" s="26">
        <f>SUM(F13:G13)</f>
        <v>224.994</v>
      </c>
      <c r="I13" s="22">
        <v>0</v>
      </c>
      <c r="J13" s="22">
        <v>0</v>
      </c>
      <c r="K13" s="22">
        <v>0</v>
      </c>
      <c r="L13" s="22">
        <v>0</v>
      </c>
      <c r="M13" s="23">
        <f t="shared" si="0"/>
        <v>0</v>
      </c>
      <c r="N13" s="39" t="s">
        <v>51</v>
      </c>
      <c r="O13" s="40" t="s">
        <v>48</v>
      </c>
      <c r="P13" s="16"/>
    </row>
    <row r="14" spans="1:16" ht="18.75" customHeight="1" x14ac:dyDescent="0.3">
      <c r="A14" s="13"/>
      <c r="B14" s="17" t="s">
        <v>58</v>
      </c>
      <c r="C14" s="15" t="s">
        <v>22</v>
      </c>
      <c r="D14" s="18">
        <v>728.56</v>
      </c>
      <c r="E14" s="47" t="s">
        <v>36</v>
      </c>
      <c r="F14" s="26">
        <f>6%*D14</f>
        <v>43.713599999999992</v>
      </c>
      <c r="G14" s="26">
        <f>6%*D14</f>
        <v>43.713599999999992</v>
      </c>
      <c r="H14" s="26">
        <f>SUM(F14:G14)</f>
        <v>87.427199999999985</v>
      </c>
      <c r="I14" s="19">
        <v>0</v>
      </c>
      <c r="J14" s="19">
        <v>10</v>
      </c>
      <c r="K14" s="19">
        <v>4</v>
      </c>
      <c r="L14" s="19">
        <v>0</v>
      </c>
      <c r="M14" s="20">
        <f t="shared" si="0"/>
        <v>14</v>
      </c>
      <c r="N14" s="35"/>
      <c r="O14" s="41"/>
      <c r="P14" s="16"/>
    </row>
    <row r="15" spans="1:16" ht="18.75" customHeight="1" x14ac:dyDescent="0.3">
      <c r="A15" s="13"/>
      <c r="B15" s="14"/>
      <c r="C15" s="15"/>
      <c r="D15" s="26"/>
      <c r="E15" s="47" t="s">
        <v>37</v>
      </c>
      <c r="F15" s="26">
        <f>5%*D14</f>
        <v>36.427999999999997</v>
      </c>
      <c r="G15" s="26">
        <f>5%*D14</f>
        <v>36.427999999999997</v>
      </c>
      <c r="H15" s="26">
        <f t="shared" ref="H15:H17" si="1">SUM(F15:G15)</f>
        <v>72.855999999999995</v>
      </c>
      <c r="I15" s="19">
        <v>0</v>
      </c>
      <c r="J15" s="19">
        <v>10</v>
      </c>
      <c r="K15" s="19">
        <v>6</v>
      </c>
      <c r="L15" s="19">
        <v>0</v>
      </c>
      <c r="M15" s="20">
        <f t="shared" si="0"/>
        <v>16</v>
      </c>
      <c r="N15" s="35"/>
      <c r="O15" s="36"/>
      <c r="P15" s="16"/>
    </row>
    <row r="16" spans="1:16" ht="18.75" customHeight="1" x14ac:dyDescent="0.3">
      <c r="A16" s="13"/>
      <c r="B16" s="14"/>
      <c r="C16" s="15"/>
      <c r="D16" s="26"/>
      <c r="E16" s="47" t="s">
        <v>38</v>
      </c>
      <c r="F16" s="26">
        <f>2%*D14</f>
        <v>14.571199999999999</v>
      </c>
      <c r="G16" s="26">
        <f>5%*D14</f>
        <v>36.427999999999997</v>
      </c>
      <c r="H16" s="26">
        <f t="shared" si="1"/>
        <v>50.999199999999995</v>
      </c>
      <c r="I16" s="19">
        <v>0</v>
      </c>
      <c r="J16" s="19">
        <v>0</v>
      </c>
      <c r="K16" s="19">
        <v>8</v>
      </c>
      <c r="L16" s="19">
        <v>0</v>
      </c>
      <c r="M16" s="20">
        <f t="shared" si="0"/>
        <v>8</v>
      </c>
      <c r="N16" s="35"/>
      <c r="O16" s="36"/>
      <c r="P16" s="16"/>
    </row>
    <row r="17" spans="1:16" ht="18.75" customHeight="1" x14ac:dyDescent="0.3">
      <c r="A17" s="54"/>
      <c r="B17" s="55"/>
      <c r="C17" s="56"/>
      <c r="D17" s="57"/>
      <c r="E17" s="58" t="s">
        <v>39</v>
      </c>
      <c r="F17" s="119">
        <v>45</v>
      </c>
      <c r="G17" s="119">
        <f>5%*D14</f>
        <v>36.427999999999997</v>
      </c>
      <c r="H17" s="119">
        <f t="shared" si="1"/>
        <v>81.427999999999997</v>
      </c>
      <c r="I17" s="59">
        <v>0</v>
      </c>
      <c r="J17" s="59">
        <v>0</v>
      </c>
      <c r="K17" s="59">
        <v>0</v>
      </c>
      <c r="L17" s="59">
        <v>0</v>
      </c>
      <c r="M17" s="60">
        <f t="shared" si="0"/>
        <v>0</v>
      </c>
      <c r="N17" s="61"/>
      <c r="O17" s="62"/>
      <c r="P17" s="88"/>
    </row>
    <row r="18" spans="1:16" ht="18.75" customHeight="1" x14ac:dyDescent="0.3">
      <c r="A18" s="13"/>
      <c r="B18" s="17" t="s">
        <v>58</v>
      </c>
      <c r="C18" s="15" t="s">
        <v>27</v>
      </c>
      <c r="D18" s="18">
        <v>88.7</v>
      </c>
      <c r="E18" s="47" t="s">
        <v>36</v>
      </c>
      <c r="F18" s="26">
        <f>6%*D18</f>
        <v>5.3220000000000001</v>
      </c>
      <c r="G18" s="26">
        <f>6%*D18</f>
        <v>5.3220000000000001</v>
      </c>
      <c r="H18" s="26">
        <f>SUM(F18:G18)</f>
        <v>10.644</v>
      </c>
      <c r="I18" s="19">
        <v>0</v>
      </c>
      <c r="J18" s="19">
        <f>2%*D18</f>
        <v>1.774</v>
      </c>
      <c r="K18" s="19"/>
      <c r="L18" s="19">
        <v>0</v>
      </c>
      <c r="M18" s="20">
        <f t="shared" ref="M18:M20" si="2">SUM(I18:L18)</f>
        <v>1.774</v>
      </c>
      <c r="N18" s="35"/>
      <c r="O18" s="41"/>
      <c r="P18" s="144"/>
    </row>
    <row r="19" spans="1:16" ht="18.75" customHeight="1" x14ac:dyDescent="0.3">
      <c r="A19" s="13"/>
      <c r="B19" s="14"/>
      <c r="C19" s="15"/>
      <c r="D19" s="26"/>
      <c r="E19" s="47" t="s">
        <v>37</v>
      </c>
      <c r="F19" s="26">
        <f>5%*D18</f>
        <v>4.4350000000000005</v>
      </c>
      <c r="G19" s="26">
        <f>5%*D18</f>
        <v>4.4350000000000005</v>
      </c>
      <c r="H19" s="26">
        <f t="shared" ref="H19:H20" si="3">SUM(F19:G19)</f>
        <v>8.870000000000001</v>
      </c>
      <c r="I19" s="19">
        <v>0</v>
      </c>
      <c r="J19" s="19">
        <f>5%*D18</f>
        <v>4.4350000000000005</v>
      </c>
      <c r="K19" s="19"/>
      <c r="L19" s="19">
        <v>0</v>
      </c>
      <c r="M19" s="20">
        <f t="shared" si="2"/>
        <v>4.4350000000000005</v>
      </c>
      <c r="N19" s="35"/>
      <c r="O19" s="36"/>
      <c r="P19" s="144"/>
    </row>
    <row r="20" spans="1:16" ht="18.75" customHeight="1" x14ac:dyDescent="0.3">
      <c r="A20" s="13"/>
      <c r="B20" s="14"/>
      <c r="C20" s="15"/>
      <c r="D20" s="26"/>
      <c r="E20" s="47" t="s">
        <v>38</v>
      </c>
      <c r="F20" s="26">
        <f>2%*D18</f>
        <v>1.774</v>
      </c>
      <c r="G20" s="26">
        <f>5%*D18</f>
        <v>4.4350000000000005</v>
      </c>
      <c r="H20" s="26">
        <f t="shared" si="3"/>
        <v>6.2090000000000005</v>
      </c>
      <c r="I20" s="19">
        <v>0</v>
      </c>
      <c r="J20" s="19">
        <f>2%*D18</f>
        <v>1.774</v>
      </c>
      <c r="K20" s="19"/>
      <c r="L20" s="19">
        <v>0</v>
      </c>
      <c r="M20" s="20">
        <f t="shared" si="2"/>
        <v>1.774</v>
      </c>
      <c r="N20" s="35"/>
      <c r="O20" s="36"/>
      <c r="P20" s="144"/>
    </row>
    <row r="21" spans="1:16" ht="18.75" customHeight="1" x14ac:dyDescent="0.3">
      <c r="A21" s="89"/>
      <c r="B21" s="71"/>
      <c r="C21" s="72"/>
      <c r="D21" s="73">
        <f>SUM(D9:D17)</f>
        <v>1137.6399999999999</v>
      </c>
      <c r="E21" s="74"/>
      <c r="F21" s="118">
        <f>SUM(F9:F17)</f>
        <v>487.43079999999992</v>
      </c>
      <c r="G21" s="118">
        <f>SUM(G9:G17)</f>
        <v>275.72159999999997</v>
      </c>
      <c r="H21" s="118">
        <f>SUM(H9:H17)</f>
        <v>763.15239999999994</v>
      </c>
      <c r="I21" s="75">
        <f>SUM(I9:I17)</f>
        <v>0</v>
      </c>
      <c r="J21" s="75">
        <f>SUM(J9:J17)</f>
        <v>20</v>
      </c>
      <c r="K21" s="75">
        <f>SUM(K8:K17)</f>
        <v>28</v>
      </c>
      <c r="L21" s="75"/>
      <c r="M21" s="75">
        <f>SUM(M9:M17)</f>
        <v>48</v>
      </c>
      <c r="N21" s="76"/>
      <c r="O21" s="77"/>
      <c r="P21" s="75"/>
    </row>
    <row r="22" spans="1:16" ht="18.75" customHeight="1" x14ac:dyDescent="0.3">
      <c r="A22" s="63">
        <v>2</v>
      </c>
      <c r="B22" s="64" t="s">
        <v>23</v>
      </c>
      <c r="C22" s="65"/>
      <c r="D22" s="66"/>
      <c r="E22" s="67"/>
      <c r="F22" s="68"/>
      <c r="G22" s="68"/>
      <c r="H22" s="68"/>
      <c r="I22" s="68"/>
      <c r="J22" s="68"/>
      <c r="K22" s="68"/>
      <c r="L22" s="68"/>
      <c r="M22" s="68"/>
      <c r="N22" s="69"/>
      <c r="O22" s="70"/>
      <c r="P22" s="68"/>
    </row>
    <row r="23" spans="1:16" ht="18.75" customHeight="1" x14ac:dyDescent="0.3">
      <c r="A23" s="13"/>
      <c r="B23" s="14" t="s">
        <v>57</v>
      </c>
      <c r="C23" s="15" t="s">
        <v>22</v>
      </c>
      <c r="D23" s="26">
        <v>198</v>
      </c>
      <c r="E23" s="47" t="s">
        <v>40</v>
      </c>
      <c r="F23" s="19">
        <v>0</v>
      </c>
      <c r="G23" s="19">
        <f>17%*D23</f>
        <v>33.660000000000004</v>
      </c>
      <c r="H23" s="19">
        <f t="shared" ref="H23" si="4">SUM(F23:G23)</f>
        <v>33.660000000000004</v>
      </c>
      <c r="I23" s="19">
        <v>0</v>
      </c>
      <c r="J23" s="19">
        <f>6%*D23</f>
        <v>11.879999999999999</v>
      </c>
      <c r="K23" s="19">
        <v>4</v>
      </c>
      <c r="L23" s="19">
        <v>0</v>
      </c>
      <c r="M23" s="20">
        <f t="shared" ref="M23" si="5">SUM(I23:L23)</f>
        <v>15.879999999999999</v>
      </c>
      <c r="N23" s="37" t="s">
        <v>51</v>
      </c>
      <c r="O23" s="399" t="s">
        <v>228</v>
      </c>
      <c r="P23" s="16"/>
    </row>
    <row r="24" spans="1:16" ht="18.75" customHeight="1" x14ac:dyDescent="0.3">
      <c r="A24" s="54"/>
      <c r="B24" s="55"/>
      <c r="C24" s="56"/>
      <c r="D24" s="57"/>
      <c r="E24" s="85"/>
      <c r="F24" s="79"/>
      <c r="G24" s="79"/>
      <c r="H24" s="79"/>
      <c r="I24" s="79"/>
      <c r="J24" s="79"/>
      <c r="K24" s="79"/>
      <c r="L24" s="79"/>
      <c r="M24" s="86"/>
      <c r="N24" s="95"/>
      <c r="O24" s="401"/>
      <c r="P24" s="87"/>
    </row>
    <row r="25" spans="1:16" ht="18.75" customHeight="1" x14ac:dyDescent="0.3">
      <c r="A25" s="54"/>
      <c r="B25" s="55" t="s">
        <v>58</v>
      </c>
      <c r="C25" s="56" t="s">
        <v>42</v>
      </c>
      <c r="D25" s="57">
        <v>55</v>
      </c>
      <c r="E25" s="47" t="s">
        <v>40</v>
      </c>
      <c r="F25" s="19">
        <v>0</v>
      </c>
      <c r="G25" s="19">
        <f>16%*D25</f>
        <v>8.8000000000000007</v>
      </c>
      <c r="H25" s="19">
        <f t="shared" ref="H25" si="6">SUM(F25:G25)</f>
        <v>8.8000000000000007</v>
      </c>
      <c r="I25" s="19">
        <v>0</v>
      </c>
      <c r="J25" s="19">
        <v>1</v>
      </c>
      <c r="K25" s="19">
        <v>4</v>
      </c>
      <c r="L25" s="19">
        <v>0</v>
      </c>
      <c r="M25" s="20">
        <f t="shared" ref="M25" si="7">SUM(I25:L25)</f>
        <v>5</v>
      </c>
      <c r="N25" s="95"/>
      <c r="O25" s="401"/>
      <c r="P25" s="87"/>
    </row>
    <row r="26" spans="1:16" ht="18.75" customHeight="1" x14ac:dyDescent="0.3">
      <c r="A26" s="54"/>
      <c r="B26" s="55"/>
      <c r="C26" s="56"/>
      <c r="D26" s="57"/>
      <c r="E26" s="85"/>
      <c r="F26" s="79"/>
      <c r="G26" s="79"/>
      <c r="H26" s="79"/>
      <c r="I26" s="79"/>
      <c r="J26" s="79"/>
      <c r="K26" s="79"/>
      <c r="L26" s="79"/>
      <c r="M26" s="86"/>
      <c r="N26" s="95"/>
      <c r="O26" s="401"/>
      <c r="P26" s="87"/>
    </row>
    <row r="27" spans="1:16" ht="18.75" customHeight="1" x14ac:dyDescent="0.3">
      <c r="A27" s="54"/>
      <c r="B27" s="55" t="s">
        <v>59</v>
      </c>
      <c r="C27" s="56" t="s">
        <v>21</v>
      </c>
      <c r="D27" s="57">
        <v>66.94</v>
      </c>
      <c r="E27" s="47" t="s">
        <v>40</v>
      </c>
      <c r="F27" s="19">
        <v>0</v>
      </c>
      <c r="G27" s="19">
        <f>18%*D27</f>
        <v>12.049199999999999</v>
      </c>
      <c r="H27" s="19">
        <f t="shared" ref="H27" si="8">SUM(F27:G27)</f>
        <v>12.049199999999999</v>
      </c>
      <c r="I27" s="19">
        <v>0</v>
      </c>
      <c r="J27" s="19">
        <v>1</v>
      </c>
      <c r="K27" s="19">
        <v>4</v>
      </c>
      <c r="L27" s="19">
        <v>0</v>
      </c>
      <c r="M27" s="20">
        <f t="shared" ref="M27" si="9">SUM(I27:L27)</f>
        <v>5</v>
      </c>
      <c r="N27" s="95"/>
      <c r="O27" s="401"/>
      <c r="P27" s="87"/>
    </row>
    <row r="28" spans="1:16" ht="18.75" customHeight="1" x14ac:dyDescent="0.3">
      <c r="A28" s="89"/>
      <c r="B28" s="71"/>
      <c r="C28" s="72"/>
      <c r="D28" s="73">
        <f>SUM(D22:D27)</f>
        <v>319.94</v>
      </c>
      <c r="E28" s="74"/>
      <c r="F28" s="83">
        <f t="shared" ref="F28:K28" si="10">SUM(F22:F27)</f>
        <v>0</v>
      </c>
      <c r="G28" s="83">
        <f t="shared" si="10"/>
        <v>54.509200000000007</v>
      </c>
      <c r="H28" s="83">
        <f t="shared" si="10"/>
        <v>54.509200000000007</v>
      </c>
      <c r="I28" s="83">
        <f t="shared" si="10"/>
        <v>0</v>
      </c>
      <c r="J28" s="83">
        <f t="shared" si="10"/>
        <v>13.879999999999999</v>
      </c>
      <c r="K28" s="83">
        <f t="shared" si="10"/>
        <v>12</v>
      </c>
      <c r="L28" s="83"/>
      <c r="M28" s="83">
        <f>SUM(M22:M27)</f>
        <v>25.88</v>
      </c>
      <c r="N28" s="76"/>
      <c r="O28" s="77"/>
      <c r="P28" s="75"/>
    </row>
    <row r="29" spans="1:16" ht="18.75" customHeight="1" x14ac:dyDescent="0.3">
      <c r="A29" s="63">
        <v>3</v>
      </c>
      <c r="B29" s="64" t="s">
        <v>19</v>
      </c>
      <c r="C29" s="65"/>
      <c r="D29" s="66"/>
      <c r="E29" s="67"/>
      <c r="F29" s="82"/>
      <c r="G29" s="82"/>
      <c r="H29" s="82"/>
      <c r="I29" s="82"/>
      <c r="J29" s="82"/>
      <c r="K29" s="82"/>
      <c r="L29" s="82"/>
      <c r="M29" s="82"/>
      <c r="N29" s="69"/>
      <c r="O29" s="70"/>
      <c r="P29" s="68"/>
    </row>
    <row r="30" spans="1:16" ht="18.75" customHeight="1" x14ac:dyDescent="0.3">
      <c r="A30" s="13"/>
      <c r="B30" s="14" t="s">
        <v>57</v>
      </c>
      <c r="C30" s="15" t="s">
        <v>24</v>
      </c>
      <c r="D30" s="26">
        <f>1372.4+494</f>
        <v>1866.4</v>
      </c>
      <c r="E30" s="50" t="s">
        <v>52</v>
      </c>
      <c r="F30" s="19">
        <v>0</v>
      </c>
      <c r="G30" s="26">
        <f>40%*D30</f>
        <v>746.56000000000006</v>
      </c>
      <c r="H30" s="26">
        <f>SUM(F30:G30)</f>
        <v>746.56000000000006</v>
      </c>
      <c r="I30" s="19">
        <v>0</v>
      </c>
      <c r="J30" s="19">
        <v>12</v>
      </c>
      <c r="K30" s="19">
        <v>5</v>
      </c>
      <c r="L30" s="19">
        <v>0</v>
      </c>
      <c r="M30" s="19">
        <f>SUM(I30:L30)</f>
        <v>17</v>
      </c>
      <c r="N30" s="35"/>
      <c r="O30" s="43" t="s">
        <v>148</v>
      </c>
      <c r="P30" s="16"/>
    </row>
    <row r="31" spans="1:16" ht="18.75" customHeight="1" x14ac:dyDescent="0.3">
      <c r="A31" s="13"/>
      <c r="B31" s="14"/>
      <c r="C31" s="15"/>
      <c r="D31" s="26"/>
      <c r="E31" s="47" t="s">
        <v>223</v>
      </c>
      <c r="F31" s="26">
        <f>40%*D30</f>
        <v>746.56000000000006</v>
      </c>
      <c r="G31" s="26"/>
      <c r="H31" s="26">
        <f>SUM(F31:G31)</f>
        <v>746.56000000000006</v>
      </c>
      <c r="I31" s="19"/>
      <c r="J31" s="19"/>
      <c r="K31" s="19">
        <v>6</v>
      </c>
      <c r="L31" s="19"/>
      <c r="M31" s="19">
        <f>SUM(I31:L31)</f>
        <v>6</v>
      </c>
      <c r="N31" s="35"/>
      <c r="O31" s="43" t="s">
        <v>149</v>
      </c>
      <c r="P31" s="16"/>
    </row>
    <row r="32" spans="1:16" ht="18.75" customHeight="1" x14ac:dyDescent="0.3">
      <c r="A32" s="13"/>
      <c r="B32" s="14"/>
      <c r="C32" s="15"/>
      <c r="D32" s="26"/>
      <c r="E32" s="47" t="s">
        <v>235</v>
      </c>
      <c r="F32" s="26">
        <f>26%*D31</f>
        <v>0</v>
      </c>
      <c r="G32" s="26">
        <f>20%*D30</f>
        <v>373.28000000000003</v>
      </c>
      <c r="H32" s="26">
        <f>SUM(F32:G32)</f>
        <v>373.28000000000003</v>
      </c>
      <c r="I32" s="19"/>
      <c r="J32" s="19"/>
      <c r="K32" s="19">
        <v>5</v>
      </c>
      <c r="L32" s="19"/>
      <c r="M32" s="19">
        <f>SUM(I32:L32)</f>
        <v>5</v>
      </c>
      <c r="N32" s="35"/>
      <c r="O32" s="43"/>
      <c r="P32" s="16"/>
    </row>
    <row r="33" spans="1:16" ht="18.75" customHeight="1" x14ac:dyDescent="0.3">
      <c r="A33" s="13"/>
      <c r="B33" s="14"/>
      <c r="C33" s="15"/>
      <c r="D33" s="26"/>
      <c r="E33" s="47" t="s">
        <v>234</v>
      </c>
      <c r="F33" s="26"/>
      <c r="G33" s="26">
        <f>30%*D30</f>
        <v>559.91999999999996</v>
      </c>
      <c r="H33" s="26">
        <f>F33+G33</f>
        <v>559.91999999999996</v>
      </c>
      <c r="I33" s="19"/>
      <c r="J33" s="19"/>
      <c r="K33" s="19"/>
      <c r="L33" s="19"/>
      <c r="M33" s="19"/>
      <c r="N33" s="35"/>
      <c r="O33" s="43"/>
      <c r="P33" s="16"/>
    </row>
    <row r="34" spans="1:16" ht="18.75" customHeight="1" x14ac:dyDescent="0.3">
      <c r="A34" s="13"/>
      <c r="B34" s="14" t="s">
        <v>58</v>
      </c>
      <c r="C34" s="15" t="s">
        <v>25</v>
      </c>
      <c r="D34" s="26">
        <f>994.7+363.2</f>
        <v>1357.9</v>
      </c>
      <c r="E34" s="50" t="s">
        <v>52</v>
      </c>
      <c r="F34" s="19">
        <v>0</v>
      </c>
      <c r="G34" s="26">
        <f>30%*D34</f>
        <v>407.37</v>
      </c>
      <c r="H34" s="26">
        <f t="shared" ref="H34:H88" si="11">SUM(F34:G34)</f>
        <v>407.37</v>
      </c>
      <c r="I34" s="19">
        <v>0</v>
      </c>
      <c r="J34" s="19">
        <v>2</v>
      </c>
      <c r="K34" s="19">
        <v>2</v>
      </c>
      <c r="L34" s="19">
        <v>0</v>
      </c>
      <c r="M34" s="19">
        <f t="shared" ref="M34:M89" si="12">SUM(I34:L34)</f>
        <v>4</v>
      </c>
      <c r="N34" s="35"/>
      <c r="O34" s="43" t="s">
        <v>226</v>
      </c>
      <c r="P34" s="16"/>
    </row>
    <row r="35" spans="1:16" ht="18.75" customHeight="1" x14ac:dyDescent="0.3">
      <c r="A35" s="13"/>
      <c r="B35" s="14"/>
      <c r="C35" s="15"/>
      <c r="D35" s="26"/>
      <c r="E35" s="47" t="s">
        <v>223</v>
      </c>
      <c r="F35" s="26">
        <f>25%*D34</f>
        <v>339.47500000000002</v>
      </c>
      <c r="G35" s="26"/>
      <c r="H35" s="26">
        <f>SUM(F35:G35)</f>
        <v>339.47500000000002</v>
      </c>
      <c r="I35" s="19"/>
      <c r="J35" s="19"/>
      <c r="K35" s="19">
        <v>6</v>
      </c>
      <c r="L35" s="19"/>
      <c r="M35" s="19">
        <f>SUM(I35:L35)</f>
        <v>6</v>
      </c>
      <c r="N35" s="35"/>
      <c r="O35" s="43"/>
      <c r="P35" s="16"/>
    </row>
    <row r="36" spans="1:16" ht="18.75" customHeight="1" x14ac:dyDescent="0.3">
      <c r="A36" s="13"/>
      <c r="B36" s="14"/>
      <c r="C36" s="15"/>
      <c r="D36" s="26"/>
      <c r="E36" s="47" t="s">
        <v>235</v>
      </c>
      <c r="F36" s="26">
        <f>26%*D35</f>
        <v>0</v>
      </c>
      <c r="G36" s="26">
        <f>20%*D34</f>
        <v>271.58000000000004</v>
      </c>
      <c r="H36" s="26">
        <f>SUM(F36:G36)</f>
        <v>271.58000000000004</v>
      </c>
      <c r="I36" s="19"/>
      <c r="J36" s="19"/>
      <c r="K36" s="19">
        <v>5</v>
      </c>
      <c r="L36" s="19"/>
      <c r="M36" s="19">
        <f>SUM(I36:L36)</f>
        <v>5</v>
      </c>
      <c r="N36" s="35"/>
      <c r="O36" s="43"/>
      <c r="P36" s="16"/>
    </row>
    <row r="37" spans="1:16" ht="18.75" customHeight="1" x14ac:dyDescent="0.3">
      <c r="A37" s="13"/>
      <c r="B37" s="14"/>
      <c r="C37" s="15"/>
      <c r="D37" s="26"/>
      <c r="E37" s="47" t="s">
        <v>234</v>
      </c>
      <c r="F37" s="26"/>
      <c r="G37" s="26">
        <f>30%*D34</f>
        <v>407.37</v>
      </c>
      <c r="H37" s="26">
        <f>F37+G37</f>
        <v>407.37</v>
      </c>
      <c r="I37" s="19"/>
      <c r="J37" s="19"/>
      <c r="K37" s="19">
        <v>5</v>
      </c>
      <c r="L37" s="19"/>
      <c r="M37" s="19">
        <f>SUM(I37:L37)</f>
        <v>5</v>
      </c>
      <c r="N37" s="35"/>
      <c r="O37" s="43"/>
      <c r="P37" s="16"/>
    </row>
    <row r="38" spans="1:16" ht="18.75" customHeight="1" x14ac:dyDescent="0.3">
      <c r="A38" s="13"/>
      <c r="B38" s="14" t="s">
        <v>59</v>
      </c>
      <c r="C38" s="15" t="s">
        <v>26</v>
      </c>
      <c r="D38" s="26">
        <f>976.5+338</f>
        <v>1314.5</v>
      </c>
      <c r="E38" s="50" t="s">
        <v>52</v>
      </c>
      <c r="F38" s="19">
        <v>0</v>
      </c>
      <c r="G38" s="26">
        <f>40%*D38</f>
        <v>525.80000000000007</v>
      </c>
      <c r="H38" s="26">
        <f t="shared" si="11"/>
        <v>525.80000000000007</v>
      </c>
      <c r="I38" s="19">
        <v>0</v>
      </c>
      <c r="J38" s="19">
        <v>3</v>
      </c>
      <c r="K38" s="19">
        <v>0</v>
      </c>
      <c r="L38" s="19">
        <v>0</v>
      </c>
      <c r="M38" s="19">
        <f t="shared" si="12"/>
        <v>3</v>
      </c>
      <c r="N38" s="35"/>
      <c r="O38" s="43"/>
      <c r="P38" s="16"/>
    </row>
    <row r="39" spans="1:16" ht="18.75" customHeight="1" x14ac:dyDescent="0.3">
      <c r="A39" s="13"/>
      <c r="B39" s="14"/>
      <c r="C39" s="15"/>
      <c r="D39" s="26"/>
      <c r="E39" s="47" t="s">
        <v>223</v>
      </c>
      <c r="F39" s="26">
        <f>26%*D38</f>
        <v>341.77000000000004</v>
      </c>
      <c r="G39" s="26"/>
      <c r="H39" s="26">
        <f>SUM(F39:G39)</f>
        <v>341.77000000000004</v>
      </c>
      <c r="I39" s="19"/>
      <c r="J39" s="19"/>
      <c r="K39" s="19">
        <v>5</v>
      </c>
      <c r="L39" s="19"/>
      <c r="M39" s="19">
        <f>SUM(I39:L39)</f>
        <v>5</v>
      </c>
      <c r="N39" s="35"/>
      <c r="O39" s="43"/>
      <c r="P39" s="16"/>
    </row>
    <row r="40" spans="1:16" ht="18.75" customHeight="1" x14ac:dyDescent="0.3">
      <c r="A40" s="13"/>
      <c r="B40" s="14"/>
      <c r="C40" s="15"/>
      <c r="D40" s="26"/>
      <c r="E40" s="47" t="s">
        <v>235</v>
      </c>
      <c r="F40" s="26">
        <f>26%*D39</f>
        <v>0</v>
      </c>
      <c r="G40" s="26">
        <f>20%*D38</f>
        <v>262.90000000000003</v>
      </c>
      <c r="H40" s="26">
        <f>SUM(F40:G40)</f>
        <v>262.90000000000003</v>
      </c>
      <c r="I40" s="19"/>
      <c r="J40" s="19"/>
      <c r="K40" s="19">
        <v>5</v>
      </c>
      <c r="L40" s="19"/>
      <c r="M40" s="19">
        <f>SUM(I40:L40)</f>
        <v>5</v>
      </c>
      <c r="N40" s="35"/>
      <c r="O40" s="43"/>
      <c r="P40" s="16"/>
    </row>
    <row r="41" spans="1:16" ht="18.75" customHeight="1" x14ac:dyDescent="0.3">
      <c r="A41" s="13"/>
      <c r="B41" s="14"/>
      <c r="C41" s="15"/>
      <c r="D41" s="26"/>
      <c r="E41" s="47" t="s">
        <v>234</v>
      </c>
      <c r="F41" s="26"/>
      <c r="G41" s="26">
        <f>30%*D38</f>
        <v>394.34999999999997</v>
      </c>
      <c r="H41" s="26">
        <f>F41+G41</f>
        <v>394.34999999999997</v>
      </c>
      <c r="I41" s="19"/>
      <c r="J41" s="19"/>
      <c r="K41" s="19"/>
      <c r="L41" s="19"/>
      <c r="M41" s="19"/>
      <c r="N41" s="35"/>
      <c r="O41" s="43"/>
      <c r="P41" s="16"/>
    </row>
    <row r="42" spans="1:16" ht="18.75" customHeight="1" x14ac:dyDescent="0.3">
      <c r="A42" s="13"/>
      <c r="B42" s="14" t="s">
        <v>60</v>
      </c>
      <c r="C42" s="15" t="s">
        <v>55</v>
      </c>
      <c r="D42" s="26">
        <f>291.6+46.93</f>
        <v>338.53000000000003</v>
      </c>
      <c r="E42" s="50" t="s">
        <v>52</v>
      </c>
      <c r="F42" s="19">
        <v>0</v>
      </c>
      <c r="G42" s="26">
        <f>40%*D42</f>
        <v>135.41200000000001</v>
      </c>
      <c r="H42" s="26">
        <f t="shared" si="11"/>
        <v>135.41200000000001</v>
      </c>
      <c r="I42" s="19">
        <v>0</v>
      </c>
      <c r="J42" s="19">
        <v>0</v>
      </c>
      <c r="K42" s="19">
        <v>0</v>
      </c>
      <c r="L42" s="19">
        <v>0</v>
      </c>
      <c r="M42" s="19">
        <f t="shared" si="12"/>
        <v>0</v>
      </c>
      <c r="N42" s="35"/>
      <c r="O42" s="43" t="s">
        <v>224</v>
      </c>
      <c r="P42" s="16"/>
    </row>
    <row r="43" spans="1:16" ht="18.75" customHeight="1" x14ac:dyDescent="0.3">
      <c r="A43" s="13"/>
      <c r="B43" s="14"/>
      <c r="C43" s="15"/>
      <c r="D43" s="26"/>
      <c r="E43" s="47" t="s">
        <v>223</v>
      </c>
      <c r="F43" s="26">
        <f>25%*D42</f>
        <v>84.632500000000007</v>
      </c>
      <c r="G43" s="26"/>
      <c r="H43" s="26">
        <f>SUM(F43:G43)</f>
        <v>84.632500000000007</v>
      </c>
      <c r="I43" s="19">
        <v>0</v>
      </c>
      <c r="J43" s="19">
        <v>0</v>
      </c>
      <c r="K43" s="19">
        <v>0</v>
      </c>
      <c r="L43" s="19">
        <v>0</v>
      </c>
      <c r="M43" s="19">
        <f t="shared" si="12"/>
        <v>0</v>
      </c>
      <c r="N43" s="35"/>
      <c r="O43" s="44" t="s">
        <v>225</v>
      </c>
      <c r="P43" s="16"/>
    </row>
    <row r="44" spans="1:16" ht="18.75" customHeight="1" x14ac:dyDescent="0.3">
      <c r="A44" s="13"/>
      <c r="B44" s="14"/>
      <c r="C44" s="15"/>
      <c r="D44" s="26"/>
      <c r="E44" s="47" t="s">
        <v>235</v>
      </c>
      <c r="F44" s="26">
        <f>26%*D43</f>
        <v>0</v>
      </c>
      <c r="G44" s="26">
        <f>20%*D42</f>
        <v>67.706000000000003</v>
      </c>
      <c r="H44" s="26">
        <f>SUM(F44:G44)</f>
        <v>67.706000000000003</v>
      </c>
      <c r="I44" s="19"/>
      <c r="J44" s="19"/>
      <c r="K44" s="19">
        <v>5</v>
      </c>
      <c r="L44" s="19"/>
      <c r="M44" s="19">
        <f>SUM(I44:L44)</f>
        <v>5</v>
      </c>
      <c r="N44" s="35"/>
      <c r="O44" s="44"/>
      <c r="P44" s="16"/>
    </row>
    <row r="45" spans="1:16" ht="18.75" customHeight="1" x14ac:dyDescent="0.3">
      <c r="A45" s="13"/>
      <c r="B45" s="14"/>
      <c r="C45" s="15"/>
      <c r="D45" s="26"/>
      <c r="E45" s="47" t="s">
        <v>234</v>
      </c>
      <c r="F45" s="26"/>
      <c r="G45" s="26">
        <f>30%*D42</f>
        <v>101.55900000000001</v>
      </c>
      <c r="H45" s="26">
        <f>F45+G45</f>
        <v>101.55900000000001</v>
      </c>
      <c r="I45" s="19"/>
      <c r="J45" s="19"/>
      <c r="K45" s="19"/>
      <c r="L45" s="19"/>
      <c r="M45" s="19"/>
      <c r="N45" s="35"/>
      <c r="O45" s="44"/>
      <c r="P45" s="16"/>
    </row>
    <row r="46" spans="1:16" ht="18.75" customHeight="1" x14ac:dyDescent="0.3">
      <c r="A46" s="13"/>
      <c r="B46" s="14" t="s">
        <v>61</v>
      </c>
      <c r="C46" s="15" t="s">
        <v>27</v>
      </c>
      <c r="D46" s="26">
        <f>831.5+161.25</f>
        <v>992.75</v>
      </c>
      <c r="E46" s="50" t="s">
        <v>52</v>
      </c>
      <c r="F46" s="19">
        <v>0</v>
      </c>
      <c r="G46" s="26">
        <f>30%*D46</f>
        <v>297.82499999999999</v>
      </c>
      <c r="H46" s="26">
        <f t="shared" si="11"/>
        <v>297.82499999999999</v>
      </c>
      <c r="I46" s="19">
        <v>0</v>
      </c>
      <c r="J46" s="19">
        <v>0</v>
      </c>
      <c r="K46" s="19">
        <v>0</v>
      </c>
      <c r="L46" s="19">
        <v>0</v>
      </c>
      <c r="M46" s="19">
        <f t="shared" si="12"/>
        <v>0</v>
      </c>
      <c r="N46" s="35"/>
      <c r="O46" s="44"/>
      <c r="P46" s="16"/>
    </row>
    <row r="47" spans="1:16" ht="18.75" customHeight="1" x14ac:dyDescent="0.3">
      <c r="A47" s="13"/>
      <c r="B47" s="14"/>
      <c r="C47" s="15"/>
      <c r="D47" s="26"/>
      <c r="E47" s="47" t="s">
        <v>223</v>
      </c>
      <c r="F47" s="26">
        <f>10%*D46</f>
        <v>99.275000000000006</v>
      </c>
      <c r="G47" s="26"/>
      <c r="H47" s="26">
        <f>SUM(F47:G47)</f>
        <v>99.275000000000006</v>
      </c>
      <c r="I47" s="19">
        <v>0</v>
      </c>
      <c r="J47" s="19">
        <v>0</v>
      </c>
      <c r="K47" s="19">
        <v>0</v>
      </c>
      <c r="L47" s="19">
        <v>0</v>
      </c>
      <c r="M47" s="19">
        <f t="shared" si="12"/>
        <v>0</v>
      </c>
      <c r="N47" s="35"/>
      <c r="O47" s="44"/>
      <c r="P47" s="16"/>
    </row>
    <row r="48" spans="1:16" ht="18.75" customHeight="1" x14ac:dyDescent="0.3">
      <c r="A48" s="13"/>
      <c r="B48" s="14" t="s">
        <v>62</v>
      </c>
      <c r="C48" s="15" t="s">
        <v>28</v>
      </c>
      <c r="D48" s="26">
        <f>868+618.6</f>
        <v>1486.6</v>
      </c>
      <c r="E48" s="50" t="s">
        <v>52</v>
      </c>
      <c r="F48" s="19">
        <v>0</v>
      </c>
      <c r="G48" s="26">
        <f>30%*D48</f>
        <v>445.97999999999996</v>
      </c>
      <c r="H48" s="26">
        <f t="shared" si="11"/>
        <v>445.97999999999996</v>
      </c>
      <c r="I48" s="19">
        <v>0</v>
      </c>
      <c r="J48" s="19">
        <v>0</v>
      </c>
      <c r="K48" s="19">
        <v>0</v>
      </c>
      <c r="L48" s="19">
        <v>0</v>
      </c>
      <c r="M48" s="19">
        <f t="shared" si="12"/>
        <v>0</v>
      </c>
      <c r="N48" s="35"/>
      <c r="O48" s="43" t="s">
        <v>227</v>
      </c>
      <c r="P48" s="16"/>
    </row>
    <row r="49" spans="1:16" ht="18.75" customHeight="1" x14ac:dyDescent="0.3">
      <c r="A49" s="13"/>
      <c r="B49" s="14"/>
      <c r="C49" s="15"/>
      <c r="D49" s="26"/>
      <c r="E49" s="47" t="s">
        <v>223</v>
      </c>
      <c r="F49" s="26">
        <f>20%*D48</f>
        <v>297.32</v>
      </c>
      <c r="G49" s="26"/>
      <c r="H49" s="26">
        <f>SUM(F49:G49)</f>
        <v>297.32</v>
      </c>
      <c r="I49" s="19">
        <v>0</v>
      </c>
      <c r="J49" s="19">
        <v>0</v>
      </c>
      <c r="K49" s="19">
        <v>0</v>
      </c>
      <c r="L49" s="19">
        <v>0</v>
      </c>
      <c r="M49" s="19">
        <f t="shared" si="12"/>
        <v>0</v>
      </c>
      <c r="N49" s="35"/>
      <c r="O49" s="43" t="s">
        <v>153</v>
      </c>
      <c r="P49" s="16"/>
    </row>
    <row r="50" spans="1:16" ht="18.75" customHeight="1" x14ac:dyDescent="0.3">
      <c r="A50" s="13"/>
      <c r="B50" s="14" t="s">
        <v>63</v>
      </c>
      <c r="C50" s="15" t="s">
        <v>29</v>
      </c>
      <c r="D50" s="26">
        <f>1546+278.5</f>
        <v>1824.5</v>
      </c>
      <c r="E50" s="50" t="s">
        <v>52</v>
      </c>
      <c r="F50" s="19">
        <v>0</v>
      </c>
      <c r="G50" s="26">
        <f>30%*D50</f>
        <v>547.35</v>
      </c>
      <c r="H50" s="26">
        <f t="shared" si="11"/>
        <v>547.35</v>
      </c>
      <c r="I50" s="19">
        <v>0</v>
      </c>
      <c r="J50" s="19">
        <v>0</v>
      </c>
      <c r="K50" s="19">
        <v>0</v>
      </c>
      <c r="L50" s="19">
        <v>0</v>
      </c>
      <c r="M50" s="19">
        <f t="shared" si="12"/>
        <v>0</v>
      </c>
      <c r="N50" s="35"/>
      <c r="O50" s="43" t="s">
        <v>154</v>
      </c>
      <c r="P50" s="16"/>
    </row>
    <row r="51" spans="1:16" ht="18.75" customHeight="1" x14ac:dyDescent="0.3">
      <c r="A51" s="13"/>
      <c r="B51" s="14"/>
      <c r="C51" s="15"/>
      <c r="D51" s="26"/>
      <c r="E51" s="47" t="s">
        <v>223</v>
      </c>
      <c r="F51" s="26">
        <f>20%*D50</f>
        <v>364.90000000000003</v>
      </c>
      <c r="G51" s="26"/>
      <c r="H51" s="26">
        <f>SUM(F51:G51)</f>
        <v>364.90000000000003</v>
      </c>
      <c r="I51" s="19">
        <v>0</v>
      </c>
      <c r="J51" s="19">
        <v>0</v>
      </c>
      <c r="K51" s="19">
        <v>0</v>
      </c>
      <c r="L51" s="19">
        <v>0</v>
      </c>
      <c r="M51" s="19">
        <f t="shared" si="12"/>
        <v>0</v>
      </c>
      <c r="N51" s="35"/>
      <c r="O51" s="43"/>
      <c r="P51" s="16"/>
    </row>
    <row r="52" spans="1:16" ht="18.75" customHeight="1" x14ac:dyDescent="0.3">
      <c r="A52" s="13"/>
      <c r="B52" s="14" t="s">
        <v>64</v>
      </c>
      <c r="C52" s="15" t="s">
        <v>56</v>
      </c>
      <c r="D52" s="26">
        <f>156.4+34.9</f>
        <v>191.3</v>
      </c>
      <c r="E52" s="50" t="s">
        <v>52</v>
      </c>
      <c r="F52" s="19">
        <v>0</v>
      </c>
      <c r="G52" s="26">
        <f>30%*D52</f>
        <v>57.39</v>
      </c>
      <c r="H52" s="26">
        <f t="shared" si="11"/>
        <v>57.39</v>
      </c>
      <c r="I52" s="19">
        <v>0</v>
      </c>
      <c r="J52" s="19">
        <v>6</v>
      </c>
      <c r="K52" s="19">
        <v>0</v>
      </c>
      <c r="L52" s="19">
        <v>0</v>
      </c>
      <c r="M52" s="19">
        <f t="shared" si="12"/>
        <v>6</v>
      </c>
      <c r="N52" s="35"/>
      <c r="O52" s="43"/>
      <c r="P52" s="16"/>
    </row>
    <row r="53" spans="1:16" ht="18.75" customHeight="1" x14ac:dyDescent="0.3">
      <c r="A53" s="13"/>
      <c r="B53" s="14"/>
      <c r="C53" s="15"/>
      <c r="D53" s="26"/>
      <c r="E53" s="47" t="s">
        <v>223</v>
      </c>
      <c r="F53" s="26">
        <f>10%*D52</f>
        <v>19.130000000000003</v>
      </c>
      <c r="G53" s="26"/>
      <c r="H53" s="26">
        <f>SUM(F53:G53)</f>
        <v>19.130000000000003</v>
      </c>
      <c r="I53" s="19">
        <v>0</v>
      </c>
      <c r="J53" s="19">
        <v>0</v>
      </c>
      <c r="K53" s="19">
        <v>0</v>
      </c>
      <c r="L53" s="19">
        <v>0</v>
      </c>
      <c r="M53" s="19">
        <f t="shared" si="12"/>
        <v>0</v>
      </c>
      <c r="N53" s="35"/>
      <c r="O53" s="43"/>
      <c r="P53" s="16"/>
    </row>
    <row r="54" spans="1:16" ht="18.75" customHeight="1" x14ac:dyDescent="0.3">
      <c r="A54" s="13"/>
      <c r="B54" s="14" t="s">
        <v>65</v>
      </c>
      <c r="C54" s="15" t="s">
        <v>30</v>
      </c>
      <c r="D54" s="26">
        <f>1499.7+565.1</f>
        <v>2064.8000000000002</v>
      </c>
      <c r="E54" s="50" t="s">
        <v>52</v>
      </c>
      <c r="F54" s="19">
        <v>0</v>
      </c>
      <c r="G54" s="26">
        <f>20%*D54</f>
        <v>412.96000000000004</v>
      </c>
      <c r="H54" s="26">
        <f t="shared" si="11"/>
        <v>412.96000000000004</v>
      </c>
      <c r="I54" s="19">
        <v>0</v>
      </c>
      <c r="J54" s="19">
        <v>0</v>
      </c>
      <c r="K54" s="19">
        <v>0</v>
      </c>
      <c r="L54" s="19">
        <v>0</v>
      </c>
      <c r="M54" s="19">
        <f t="shared" si="12"/>
        <v>0</v>
      </c>
      <c r="N54" s="35"/>
      <c r="O54" s="43"/>
      <c r="P54" s="16"/>
    </row>
    <row r="55" spans="1:16" ht="18.75" customHeight="1" x14ac:dyDescent="0.3">
      <c r="A55" s="13"/>
      <c r="B55" s="14"/>
      <c r="C55" s="15"/>
      <c r="D55" s="26"/>
      <c r="E55" s="47" t="s">
        <v>223</v>
      </c>
      <c r="F55" s="26">
        <f>10%*D54</f>
        <v>206.48000000000002</v>
      </c>
      <c r="G55" s="26"/>
      <c r="H55" s="26">
        <f>SUM(F55:G55)</f>
        <v>206.48000000000002</v>
      </c>
      <c r="I55" s="19">
        <v>0</v>
      </c>
      <c r="J55" s="19">
        <v>0</v>
      </c>
      <c r="K55" s="19">
        <v>0</v>
      </c>
      <c r="L55" s="19">
        <v>0</v>
      </c>
      <c r="M55" s="19">
        <f t="shared" si="12"/>
        <v>0</v>
      </c>
      <c r="N55" s="35"/>
      <c r="O55" s="43"/>
      <c r="P55" s="16"/>
    </row>
    <row r="56" spans="1:16" ht="18.75" customHeight="1" x14ac:dyDescent="0.3">
      <c r="A56" s="13"/>
      <c r="B56" s="14" t="s">
        <v>66</v>
      </c>
      <c r="C56" s="15" t="s">
        <v>31</v>
      </c>
      <c r="D56" s="26">
        <f>1207+389</f>
        <v>1596</v>
      </c>
      <c r="E56" s="50" t="s">
        <v>52</v>
      </c>
      <c r="F56" s="19">
        <v>0</v>
      </c>
      <c r="G56" s="26">
        <f>30%*D56</f>
        <v>478.79999999999995</v>
      </c>
      <c r="H56" s="26">
        <f t="shared" si="11"/>
        <v>478.79999999999995</v>
      </c>
      <c r="I56" s="19">
        <v>0</v>
      </c>
      <c r="J56" s="19">
        <v>0</v>
      </c>
      <c r="K56" s="19">
        <v>0</v>
      </c>
      <c r="L56" s="19">
        <v>0</v>
      </c>
      <c r="M56" s="19">
        <f t="shared" si="12"/>
        <v>0</v>
      </c>
      <c r="N56" s="35"/>
      <c r="O56" s="43"/>
      <c r="P56" s="16"/>
    </row>
    <row r="57" spans="1:16" ht="18.75" customHeight="1" x14ac:dyDescent="0.3">
      <c r="A57" s="13"/>
      <c r="B57" s="14"/>
      <c r="C57" s="15"/>
      <c r="D57" s="26"/>
      <c r="E57" s="47" t="s">
        <v>223</v>
      </c>
      <c r="F57" s="26">
        <f>20%*D54</f>
        <v>412.96000000000004</v>
      </c>
      <c r="G57" s="26"/>
      <c r="H57" s="26">
        <f>SUM(F57:G57)</f>
        <v>412.96000000000004</v>
      </c>
      <c r="I57" s="19">
        <v>0</v>
      </c>
      <c r="J57" s="19">
        <v>0</v>
      </c>
      <c r="K57" s="19">
        <v>0</v>
      </c>
      <c r="L57" s="19">
        <v>0</v>
      </c>
      <c r="M57" s="19">
        <f t="shared" si="12"/>
        <v>0</v>
      </c>
      <c r="N57" s="35"/>
      <c r="O57" s="43"/>
      <c r="P57" s="16"/>
    </row>
    <row r="58" spans="1:16" ht="18.75" customHeight="1" x14ac:dyDescent="0.3">
      <c r="A58" s="13"/>
      <c r="B58" s="14" t="s">
        <v>67</v>
      </c>
      <c r="C58" s="15" t="s">
        <v>32</v>
      </c>
      <c r="D58" s="26">
        <f>998.9+79.5</f>
        <v>1078.4000000000001</v>
      </c>
      <c r="E58" s="50" t="s">
        <v>52</v>
      </c>
      <c r="F58" s="19">
        <v>0</v>
      </c>
      <c r="G58" s="26">
        <f>20%*D58</f>
        <v>215.68000000000004</v>
      </c>
      <c r="H58" s="26">
        <f t="shared" si="11"/>
        <v>215.68000000000004</v>
      </c>
      <c r="I58" s="19">
        <v>0</v>
      </c>
      <c r="J58" s="19">
        <v>0</v>
      </c>
      <c r="K58" s="19">
        <v>0</v>
      </c>
      <c r="L58" s="19">
        <v>0</v>
      </c>
      <c r="M58" s="19">
        <f t="shared" si="12"/>
        <v>0</v>
      </c>
      <c r="N58" s="35"/>
      <c r="O58" s="43"/>
      <c r="P58" s="16"/>
    </row>
    <row r="59" spans="1:16" ht="18.75" customHeight="1" x14ac:dyDescent="0.3">
      <c r="A59" s="13"/>
      <c r="B59" s="14"/>
      <c r="C59" s="15"/>
      <c r="D59" s="26"/>
      <c r="E59" s="47" t="s">
        <v>223</v>
      </c>
      <c r="F59" s="26">
        <f>20%*D58</f>
        <v>215.68000000000004</v>
      </c>
      <c r="G59" s="26"/>
      <c r="H59" s="26">
        <f>SUM(F59:G59)</f>
        <v>215.68000000000004</v>
      </c>
      <c r="I59" s="19">
        <v>0</v>
      </c>
      <c r="J59" s="19">
        <v>0</v>
      </c>
      <c r="K59" s="19">
        <v>0</v>
      </c>
      <c r="L59" s="19">
        <v>0</v>
      </c>
      <c r="M59" s="19">
        <f t="shared" si="12"/>
        <v>0</v>
      </c>
      <c r="N59" s="35"/>
      <c r="O59" s="43"/>
      <c r="P59" s="16"/>
    </row>
    <row r="60" spans="1:16" ht="18.75" customHeight="1" x14ac:dyDescent="0.3">
      <c r="A60" s="13"/>
      <c r="B60" s="14" t="s">
        <v>68</v>
      </c>
      <c r="C60" s="15" t="s">
        <v>33</v>
      </c>
      <c r="D60" s="26">
        <f>1304+57.5</f>
        <v>1361.5</v>
      </c>
      <c r="E60" s="50" t="s">
        <v>52</v>
      </c>
      <c r="F60" s="19">
        <v>0</v>
      </c>
      <c r="G60" s="26">
        <f>25%*D60</f>
        <v>340.375</v>
      </c>
      <c r="H60" s="26">
        <f t="shared" si="11"/>
        <v>340.375</v>
      </c>
      <c r="I60" s="19">
        <v>0</v>
      </c>
      <c r="J60" s="19">
        <v>0</v>
      </c>
      <c r="K60" s="19">
        <v>0</v>
      </c>
      <c r="L60" s="19">
        <v>0</v>
      </c>
      <c r="M60" s="19">
        <f t="shared" si="12"/>
        <v>0</v>
      </c>
      <c r="N60" s="35"/>
      <c r="O60" s="43"/>
      <c r="P60" s="16"/>
    </row>
    <row r="61" spans="1:16" ht="18.75" customHeight="1" x14ac:dyDescent="0.3">
      <c r="A61" s="13"/>
      <c r="B61" s="14"/>
      <c r="C61" s="15"/>
      <c r="D61" s="26"/>
      <c r="E61" s="47" t="s">
        <v>223</v>
      </c>
      <c r="F61" s="26">
        <f>20%*D60</f>
        <v>272.3</v>
      </c>
      <c r="G61" s="26"/>
      <c r="H61" s="26">
        <f>SUM(F61:G61)</f>
        <v>272.3</v>
      </c>
      <c r="I61" s="19">
        <v>0</v>
      </c>
      <c r="J61" s="19">
        <v>0</v>
      </c>
      <c r="K61" s="19">
        <v>0</v>
      </c>
      <c r="L61" s="19">
        <v>0</v>
      </c>
      <c r="M61" s="19">
        <f t="shared" si="12"/>
        <v>0</v>
      </c>
      <c r="N61" s="35"/>
      <c r="O61" s="43"/>
      <c r="P61" s="16"/>
    </row>
    <row r="62" spans="1:16" ht="18.75" customHeight="1" x14ac:dyDescent="0.3">
      <c r="A62" s="13"/>
      <c r="B62" s="14" t="s">
        <v>69</v>
      </c>
      <c r="C62" s="15" t="s">
        <v>34</v>
      </c>
      <c r="D62" s="26">
        <f>1784.1+362</f>
        <v>2146.1</v>
      </c>
      <c r="E62" s="50" t="s">
        <v>52</v>
      </c>
      <c r="F62" s="19">
        <v>0</v>
      </c>
      <c r="G62" s="26">
        <f>25%*D62</f>
        <v>536.52499999999998</v>
      </c>
      <c r="H62" s="26">
        <f t="shared" si="11"/>
        <v>536.52499999999998</v>
      </c>
      <c r="I62" s="19">
        <v>0</v>
      </c>
      <c r="J62" s="19">
        <v>4</v>
      </c>
      <c r="K62" s="19">
        <v>6</v>
      </c>
      <c r="L62" s="19">
        <v>0</v>
      </c>
      <c r="M62" s="19">
        <f t="shared" si="12"/>
        <v>10</v>
      </c>
      <c r="N62" s="35"/>
      <c r="O62" s="43"/>
      <c r="P62" s="16"/>
    </row>
    <row r="63" spans="1:16" ht="18.75" customHeight="1" x14ac:dyDescent="0.3">
      <c r="A63" s="13"/>
      <c r="B63" s="14"/>
      <c r="C63" s="15"/>
      <c r="D63" s="26"/>
      <c r="E63" s="47" t="s">
        <v>223</v>
      </c>
      <c r="F63" s="26">
        <f>30%*D62</f>
        <v>643.82999999999993</v>
      </c>
      <c r="G63" s="26"/>
      <c r="H63" s="26">
        <f>SUM(F63:G63)</f>
        <v>643.82999999999993</v>
      </c>
      <c r="I63" s="19">
        <v>0</v>
      </c>
      <c r="J63" s="19">
        <v>0</v>
      </c>
      <c r="K63" s="19">
        <v>0</v>
      </c>
      <c r="L63" s="19">
        <v>0</v>
      </c>
      <c r="M63" s="19">
        <f t="shared" si="12"/>
        <v>0</v>
      </c>
      <c r="N63" s="35"/>
      <c r="O63" s="43"/>
      <c r="P63" s="16"/>
    </row>
    <row r="64" spans="1:16" ht="18.75" customHeight="1" x14ac:dyDescent="0.3">
      <c r="A64" s="13"/>
      <c r="B64" s="14" t="s">
        <v>70</v>
      </c>
      <c r="C64" s="15" t="s">
        <v>35</v>
      </c>
      <c r="D64" s="26">
        <f>1557+181.5</f>
        <v>1738.5</v>
      </c>
      <c r="E64" s="50" t="s">
        <v>52</v>
      </c>
      <c r="F64" s="19">
        <v>0</v>
      </c>
      <c r="G64" s="26">
        <f>25%*D64</f>
        <v>434.625</v>
      </c>
      <c r="H64" s="26">
        <f t="shared" si="11"/>
        <v>434.625</v>
      </c>
      <c r="I64" s="19">
        <v>0</v>
      </c>
      <c r="J64" s="19">
        <v>0</v>
      </c>
      <c r="K64" s="19">
        <v>0</v>
      </c>
      <c r="L64" s="19">
        <v>0</v>
      </c>
      <c r="M64" s="19">
        <f t="shared" si="12"/>
        <v>0</v>
      </c>
      <c r="N64" s="35"/>
      <c r="O64" s="43"/>
      <c r="P64" s="16"/>
    </row>
    <row r="65" spans="1:16" ht="18.75" customHeight="1" x14ac:dyDescent="0.3">
      <c r="A65" s="13"/>
      <c r="B65" s="14"/>
      <c r="C65" s="15"/>
      <c r="D65" s="26"/>
      <c r="E65" s="47" t="s">
        <v>223</v>
      </c>
      <c r="F65" s="26">
        <f>20%*D64</f>
        <v>347.70000000000005</v>
      </c>
      <c r="G65" s="26"/>
      <c r="H65" s="26">
        <f>SUM(F65:G65)</f>
        <v>347.70000000000005</v>
      </c>
      <c r="I65" s="19">
        <v>0</v>
      </c>
      <c r="J65" s="19">
        <v>0</v>
      </c>
      <c r="K65" s="19">
        <v>0</v>
      </c>
      <c r="L65" s="19">
        <v>0</v>
      </c>
      <c r="M65" s="19">
        <f t="shared" si="12"/>
        <v>0</v>
      </c>
      <c r="N65" s="35"/>
      <c r="O65" s="43"/>
      <c r="P65" s="16"/>
    </row>
    <row r="66" spans="1:16" ht="18.75" customHeight="1" x14ac:dyDescent="0.3">
      <c r="A66" s="13"/>
      <c r="B66" s="14" t="s">
        <v>71</v>
      </c>
      <c r="C66" s="15" t="s">
        <v>21</v>
      </c>
      <c r="D66" s="26">
        <f>1940+114</f>
        <v>2054</v>
      </c>
      <c r="E66" s="50" t="s">
        <v>52</v>
      </c>
      <c r="F66" s="19">
        <v>0</v>
      </c>
      <c r="G66" s="26">
        <f>25%*D66</f>
        <v>513.5</v>
      </c>
      <c r="H66" s="26">
        <f t="shared" si="11"/>
        <v>513.5</v>
      </c>
      <c r="I66" s="19">
        <v>0</v>
      </c>
      <c r="J66" s="19">
        <v>0</v>
      </c>
      <c r="K66" s="19">
        <v>0</v>
      </c>
      <c r="L66" s="19">
        <v>0</v>
      </c>
      <c r="M66" s="19">
        <f t="shared" si="12"/>
        <v>0</v>
      </c>
      <c r="N66" s="35"/>
      <c r="O66" s="43"/>
      <c r="P66" s="16"/>
    </row>
    <row r="67" spans="1:16" ht="18.75" customHeight="1" x14ac:dyDescent="0.3">
      <c r="A67" s="13"/>
      <c r="B67" s="14"/>
      <c r="C67" s="15"/>
      <c r="D67" s="26"/>
      <c r="E67" s="47" t="s">
        <v>223</v>
      </c>
      <c r="F67" s="26">
        <f>10%*D66</f>
        <v>205.4</v>
      </c>
      <c r="G67" s="26"/>
      <c r="H67" s="26">
        <f>SUM(F67:G67)</f>
        <v>205.4</v>
      </c>
      <c r="I67" s="19">
        <v>0</v>
      </c>
      <c r="J67" s="19">
        <v>0</v>
      </c>
      <c r="K67" s="19">
        <v>0</v>
      </c>
      <c r="L67" s="19">
        <v>0</v>
      </c>
      <c r="M67" s="19">
        <f t="shared" si="12"/>
        <v>0</v>
      </c>
      <c r="N67" s="35"/>
      <c r="O67" s="43"/>
      <c r="P67" s="16"/>
    </row>
    <row r="68" spans="1:16" ht="18.75" customHeight="1" x14ac:dyDescent="0.3">
      <c r="A68" s="13"/>
      <c r="B68" s="14" t="s">
        <v>72</v>
      </c>
      <c r="C68" s="15" t="s">
        <v>42</v>
      </c>
      <c r="D68" s="26">
        <f>773.1+303.8</f>
        <v>1076.9000000000001</v>
      </c>
      <c r="E68" s="50" t="s">
        <v>52</v>
      </c>
      <c r="F68" s="19">
        <v>0</v>
      </c>
      <c r="G68" s="26">
        <f>25%*D68</f>
        <v>269.22500000000002</v>
      </c>
      <c r="H68" s="26">
        <f t="shared" si="11"/>
        <v>269.22500000000002</v>
      </c>
      <c r="I68" s="19">
        <v>0</v>
      </c>
      <c r="J68" s="19">
        <v>0</v>
      </c>
      <c r="K68" s="19">
        <v>0</v>
      </c>
      <c r="L68" s="19">
        <v>0</v>
      </c>
      <c r="M68" s="19">
        <f t="shared" si="12"/>
        <v>0</v>
      </c>
      <c r="N68" s="35"/>
      <c r="O68" s="36"/>
      <c r="P68" s="16"/>
    </row>
    <row r="69" spans="1:16" ht="18.75" customHeight="1" x14ac:dyDescent="0.3">
      <c r="A69" s="13"/>
      <c r="B69" s="14"/>
      <c r="C69" s="15"/>
      <c r="D69" s="26"/>
      <c r="E69" s="47" t="s">
        <v>223</v>
      </c>
      <c r="F69" s="26">
        <f>20%*D68</f>
        <v>215.38000000000002</v>
      </c>
      <c r="G69" s="26"/>
      <c r="H69" s="26">
        <f>SUM(F69:G69)</f>
        <v>215.38000000000002</v>
      </c>
      <c r="I69" s="19">
        <v>0</v>
      </c>
      <c r="J69" s="19">
        <v>0</v>
      </c>
      <c r="K69" s="19">
        <v>0</v>
      </c>
      <c r="L69" s="19">
        <v>0</v>
      </c>
      <c r="M69" s="19">
        <f t="shared" si="12"/>
        <v>0</v>
      </c>
      <c r="N69" s="35"/>
      <c r="O69" s="36"/>
      <c r="P69" s="16"/>
    </row>
    <row r="70" spans="1:16" ht="18.75" customHeight="1" x14ac:dyDescent="0.3">
      <c r="A70" s="13"/>
      <c r="B70" s="14" t="s">
        <v>73</v>
      </c>
      <c r="C70" s="15" t="s">
        <v>105</v>
      </c>
      <c r="D70" s="26">
        <f>153.8+8.7</f>
        <v>162.5</v>
      </c>
      <c r="E70" s="50" t="s">
        <v>52</v>
      </c>
      <c r="F70" s="19">
        <v>0</v>
      </c>
      <c r="G70" s="26">
        <f>25%*D70</f>
        <v>40.625</v>
      </c>
      <c r="H70" s="26">
        <f t="shared" si="11"/>
        <v>40.625</v>
      </c>
      <c r="I70" s="19">
        <v>0</v>
      </c>
      <c r="J70" s="19">
        <v>0</v>
      </c>
      <c r="K70" s="19">
        <v>0</v>
      </c>
      <c r="L70" s="19">
        <v>0</v>
      </c>
      <c r="M70" s="19">
        <f t="shared" si="12"/>
        <v>0</v>
      </c>
      <c r="N70" s="35"/>
      <c r="O70" s="36"/>
      <c r="P70" s="16"/>
    </row>
    <row r="71" spans="1:16" ht="18.75" customHeight="1" x14ac:dyDescent="0.3">
      <c r="A71" s="13"/>
      <c r="B71" s="14"/>
      <c r="C71" s="15"/>
      <c r="D71" s="26"/>
      <c r="E71" s="47" t="s">
        <v>223</v>
      </c>
      <c r="F71" s="26">
        <f>30%*D70</f>
        <v>48.75</v>
      </c>
      <c r="G71" s="26"/>
      <c r="H71" s="26">
        <f>SUM(F71:G71)</f>
        <v>48.75</v>
      </c>
      <c r="I71" s="19">
        <v>0</v>
      </c>
      <c r="J71" s="19">
        <v>0</v>
      </c>
      <c r="K71" s="19">
        <v>0</v>
      </c>
      <c r="L71" s="19">
        <v>0</v>
      </c>
      <c r="M71" s="19">
        <f t="shared" si="12"/>
        <v>0</v>
      </c>
      <c r="N71" s="35"/>
      <c r="O71" s="36"/>
      <c r="P71" s="16"/>
    </row>
    <row r="72" spans="1:16" ht="18.75" customHeight="1" x14ac:dyDescent="0.3">
      <c r="A72" s="13"/>
      <c r="B72" s="14" t="s">
        <v>74</v>
      </c>
      <c r="C72" s="15" t="s">
        <v>110</v>
      </c>
      <c r="D72" s="26">
        <f>695+48.2</f>
        <v>743.2</v>
      </c>
      <c r="E72" s="50" t="s">
        <v>52</v>
      </c>
      <c r="F72" s="19">
        <v>0</v>
      </c>
      <c r="G72" s="26">
        <f>25%*D72</f>
        <v>185.8</v>
      </c>
      <c r="H72" s="26">
        <f t="shared" si="11"/>
        <v>185.8</v>
      </c>
      <c r="I72" s="19">
        <v>0</v>
      </c>
      <c r="J72" s="19">
        <v>0</v>
      </c>
      <c r="K72" s="19">
        <v>0</v>
      </c>
      <c r="L72" s="19">
        <v>0</v>
      </c>
      <c r="M72" s="19">
        <f t="shared" si="12"/>
        <v>0</v>
      </c>
      <c r="N72" s="35"/>
      <c r="O72" s="36"/>
      <c r="P72" s="16"/>
    </row>
    <row r="73" spans="1:16" ht="18.75" customHeight="1" x14ac:dyDescent="0.3">
      <c r="A73" s="13"/>
      <c r="B73" s="14"/>
      <c r="C73" s="15"/>
      <c r="D73" s="26"/>
      <c r="E73" s="47" t="s">
        <v>223</v>
      </c>
      <c r="F73" s="26">
        <f>10%*D72</f>
        <v>74.320000000000007</v>
      </c>
      <c r="G73" s="26"/>
      <c r="H73" s="26">
        <f>SUM(F73:G73)</f>
        <v>74.320000000000007</v>
      </c>
      <c r="I73" s="19">
        <v>0</v>
      </c>
      <c r="J73" s="19">
        <v>0</v>
      </c>
      <c r="K73" s="19">
        <v>0</v>
      </c>
      <c r="L73" s="19">
        <v>0</v>
      </c>
      <c r="M73" s="19">
        <f t="shared" si="12"/>
        <v>0</v>
      </c>
      <c r="N73" s="35"/>
      <c r="O73" s="36"/>
      <c r="P73" s="16"/>
    </row>
    <row r="74" spans="1:16" ht="18.75" customHeight="1" x14ac:dyDescent="0.3">
      <c r="A74" s="13"/>
      <c r="B74" s="14" t="s">
        <v>75</v>
      </c>
      <c r="C74" s="15" t="s">
        <v>112</v>
      </c>
      <c r="D74" s="26">
        <f>375+14</f>
        <v>389</v>
      </c>
      <c r="E74" s="50" t="s">
        <v>52</v>
      </c>
      <c r="F74" s="19">
        <v>0</v>
      </c>
      <c r="G74" s="26">
        <f>25%*D74</f>
        <v>97.25</v>
      </c>
      <c r="H74" s="26">
        <f t="shared" si="11"/>
        <v>97.25</v>
      </c>
      <c r="I74" s="19">
        <v>0</v>
      </c>
      <c r="J74" s="19">
        <v>0</v>
      </c>
      <c r="K74" s="19">
        <v>0</v>
      </c>
      <c r="L74" s="19">
        <v>0</v>
      </c>
      <c r="M74" s="19">
        <f t="shared" si="12"/>
        <v>0</v>
      </c>
      <c r="N74" s="35"/>
      <c r="O74" s="36"/>
      <c r="P74" s="16"/>
    </row>
    <row r="75" spans="1:16" ht="18.75" customHeight="1" x14ac:dyDescent="0.3">
      <c r="A75" s="13"/>
      <c r="B75" s="14"/>
      <c r="C75" s="15"/>
      <c r="D75" s="26"/>
      <c r="E75" s="47" t="s">
        <v>223</v>
      </c>
      <c r="F75" s="26">
        <f>30%*D74</f>
        <v>116.69999999999999</v>
      </c>
      <c r="G75" s="26"/>
      <c r="H75" s="26">
        <f>SUM(F75:G75)</f>
        <v>116.69999999999999</v>
      </c>
      <c r="I75" s="19">
        <v>0</v>
      </c>
      <c r="J75" s="19">
        <v>0</v>
      </c>
      <c r="K75" s="19">
        <v>0</v>
      </c>
      <c r="L75" s="19">
        <v>0</v>
      </c>
      <c r="M75" s="19">
        <f t="shared" si="12"/>
        <v>0</v>
      </c>
      <c r="N75" s="35"/>
      <c r="O75" s="36"/>
      <c r="P75" s="16"/>
    </row>
    <row r="76" spans="1:16" ht="18.75" customHeight="1" x14ac:dyDescent="0.3">
      <c r="A76" s="13"/>
      <c r="B76" s="14" t="s">
        <v>104</v>
      </c>
      <c r="C76" s="15" t="s">
        <v>114</v>
      </c>
      <c r="D76" s="26">
        <f>73.5</f>
        <v>73.5</v>
      </c>
      <c r="E76" s="50" t="s">
        <v>52</v>
      </c>
      <c r="F76" s="19">
        <v>0</v>
      </c>
      <c r="G76" s="26">
        <f>25%*D76</f>
        <v>18.375</v>
      </c>
      <c r="H76" s="26">
        <f t="shared" si="11"/>
        <v>18.375</v>
      </c>
      <c r="I76" s="19">
        <v>0</v>
      </c>
      <c r="J76" s="19">
        <v>0</v>
      </c>
      <c r="K76" s="19">
        <v>0</v>
      </c>
      <c r="L76" s="19">
        <v>0</v>
      </c>
      <c r="M76" s="19">
        <f t="shared" si="12"/>
        <v>0</v>
      </c>
      <c r="N76" s="35"/>
      <c r="O76" s="36"/>
      <c r="P76" s="16"/>
    </row>
    <row r="77" spans="1:16" ht="18.75" customHeight="1" x14ac:dyDescent="0.3">
      <c r="A77" s="13"/>
      <c r="B77" s="14"/>
      <c r="C77" s="15"/>
      <c r="D77" s="26"/>
      <c r="E77" s="47" t="s">
        <v>223</v>
      </c>
      <c r="F77" s="26">
        <f>10%*D76</f>
        <v>7.3500000000000005</v>
      </c>
      <c r="G77" s="26"/>
      <c r="H77" s="26">
        <f>SUM(F77:G77)</f>
        <v>7.3500000000000005</v>
      </c>
      <c r="I77" s="19">
        <v>0</v>
      </c>
      <c r="J77" s="19">
        <v>0</v>
      </c>
      <c r="K77" s="19">
        <v>0</v>
      </c>
      <c r="L77" s="19">
        <v>0</v>
      </c>
      <c r="M77" s="19">
        <f t="shared" si="12"/>
        <v>0</v>
      </c>
      <c r="N77" s="35"/>
      <c r="O77" s="36"/>
      <c r="P77" s="16"/>
    </row>
    <row r="78" spans="1:16" ht="18.75" customHeight="1" x14ac:dyDescent="0.3">
      <c r="A78" s="13"/>
      <c r="B78" s="14" t="s">
        <v>106</v>
      </c>
      <c r="C78" s="15" t="s">
        <v>22</v>
      </c>
      <c r="D78" s="26">
        <f>1130+101</f>
        <v>1231</v>
      </c>
      <c r="E78" s="50" t="s">
        <v>52</v>
      </c>
      <c r="F78" s="19">
        <v>0</v>
      </c>
      <c r="G78" s="26">
        <f>25%*D78</f>
        <v>307.75</v>
      </c>
      <c r="H78" s="26">
        <f t="shared" si="11"/>
        <v>307.75</v>
      </c>
      <c r="I78" s="19">
        <v>0</v>
      </c>
      <c r="J78" s="19">
        <v>0</v>
      </c>
      <c r="K78" s="19">
        <v>0</v>
      </c>
      <c r="L78" s="19">
        <v>0</v>
      </c>
      <c r="M78" s="19">
        <f t="shared" si="12"/>
        <v>0</v>
      </c>
      <c r="N78" s="35"/>
      <c r="O78" s="36"/>
      <c r="P78" s="16"/>
    </row>
    <row r="79" spans="1:16" ht="18.75" customHeight="1" x14ac:dyDescent="0.3">
      <c r="A79" s="13"/>
      <c r="B79" s="14"/>
      <c r="C79" s="15"/>
      <c r="D79" s="26"/>
      <c r="E79" s="47" t="s">
        <v>223</v>
      </c>
      <c r="F79" s="26">
        <f>20%*D78</f>
        <v>246.20000000000002</v>
      </c>
      <c r="G79" s="26"/>
      <c r="H79" s="26">
        <f>SUM(F79:G79)</f>
        <v>246.20000000000002</v>
      </c>
      <c r="I79" s="19">
        <v>0</v>
      </c>
      <c r="J79" s="19">
        <v>0</v>
      </c>
      <c r="K79" s="19">
        <v>0</v>
      </c>
      <c r="L79" s="19">
        <v>0</v>
      </c>
      <c r="M79" s="19">
        <f t="shared" si="12"/>
        <v>0</v>
      </c>
      <c r="N79" s="35"/>
      <c r="O79" s="36"/>
      <c r="P79" s="16"/>
    </row>
    <row r="80" spans="1:16" ht="18.75" customHeight="1" x14ac:dyDescent="0.3">
      <c r="A80" s="13"/>
      <c r="B80" s="14" t="s">
        <v>108</v>
      </c>
      <c r="C80" s="15" t="s">
        <v>180</v>
      </c>
      <c r="D80" s="26">
        <f>134.8+5</f>
        <v>139.80000000000001</v>
      </c>
      <c r="E80" s="47" t="s">
        <v>52</v>
      </c>
      <c r="F80" s="19">
        <v>0</v>
      </c>
      <c r="G80" s="26">
        <f>26%*D80</f>
        <v>36.348000000000006</v>
      </c>
      <c r="H80" s="26">
        <f t="shared" si="11"/>
        <v>36.348000000000006</v>
      </c>
      <c r="I80" s="19">
        <v>0</v>
      </c>
      <c r="J80" s="19">
        <v>0</v>
      </c>
      <c r="K80" s="19">
        <v>0</v>
      </c>
      <c r="L80" s="19">
        <v>0</v>
      </c>
      <c r="M80" s="19">
        <f t="shared" si="12"/>
        <v>0</v>
      </c>
      <c r="N80" s="35"/>
      <c r="O80" s="36"/>
      <c r="P80" s="16"/>
    </row>
    <row r="81" spans="1:16" ht="18.75" customHeight="1" x14ac:dyDescent="0.3">
      <c r="A81" s="13"/>
      <c r="B81" s="14"/>
      <c r="C81" s="15"/>
      <c r="D81" s="26"/>
      <c r="E81" s="47" t="s">
        <v>223</v>
      </c>
      <c r="F81" s="26">
        <f>20%*D80</f>
        <v>27.960000000000004</v>
      </c>
      <c r="G81" s="26"/>
      <c r="H81" s="26">
        <f>SUM(F81:G81)</f>
        <v>27.960000000000004</v>
      </c>
      <c r="I81" s="19">
        <v>0</v>
      </c>
      <c r="J81" s="19">
        <v>0</v>
      </c>
      <c r="K81" s="19">
        <v>0</v>
      </c>
      <c r="L81" s="19">
        <v>0</v>
      </c>
      <c r="M81" s="19">
        <f t="shared" si="12"/>
        <v>0</v>
      </c>
      <c r="N81" s="35"/>
      <c r="O81" s="36"/>
      <c r="P81" s="16"/>
    </row>
    <row r="82" spans="1:16" ht="18.75" customHeight="1" x14ac:dyDescent="0.3">
      <c r="A82" s="13"/>
      <c r="B82" s="14" t="s">
        <v>109</v>
      </c>
      <c r="C82" s="15" t="s">
        <v>43</v>
      </c>
      <c r="D82" s="26">
        <f>1189+216.6</f>
        <v>1405.6</v>
      </c>
      <c r="E82" s="50" t="s">
        <v>52</v>
      </c>
      <c r="F82" s="19">
        <v>0</v>
      </c>
      <c r="G82" s="26">
        <f>25%*D82</f>
        <v>351.4</v>
      </c>
      <c r="H82" s="26">
        <f t="shared" si="11"/>
        <v>351.4</v>
      </c>
      <c r="I82" s="19">
        <v>0</v>
      </c>
      <c r="J82" s="19">
        <v>0</v>
      </c>
      <c r="K82" s="19">
        <v>0</v>
      </c>
      <c r="L82" s="19">
        <v>0</v>
      </c>
      <c r="M82" s="19">
        <f t="shared" si="12"/>
        <v>0</v>
      </c>
      <c r="N82" s="35"/>
      <c r="O82" s="36"/>
      <c r="P82" s="16"/>
    </row>
    <row r="83" spans="1:16" ht="18.75" customHeight="1" x14ac:dyDescent="0.3">
      <c r="A83" s="13"/>
      <c r="B83" s="14"/>
      <c r="C83" s="15"/>
      <c r="D83" s="26"/>
      <c r="E83" s="47" t="s">
        <v>223</v>
      </c>
      <c r="F83" s="26">
        <f>30%*D82</f>
        <v>421.67999999999995</v>
      </c>
      <c r="G83" s="26"/>
      <c r="H83" s="26">
        <f>SUM(F83:G83)</f>
        <v>421.67999999999995</v>
      </c>
      <c r="I83" s="19">
        <v>0</v>
      </c>
      <c r="J83" s="19">
        <v>0</v>
      </c>
      <c r="K83" s="19">
        <v>0</v>
      </c>
      <c r="L83" s="19">
        <v>0</v>
      </c>
      <c r="M83" s="19">
        <f t="shared" si="12"/>
        <v>0</v>
      </c>
      <c r="N83" s="35"/>
      <c r="O83" s="36"/>
      <c r="P83" s="16"/>
    </row>
    <row r="84" spans="1:16" ht="19.5" customHeight="1" x14ac:dyDescent="0.3">
      <c r="A84" s="13"/>
      <c r="B84" s="55" t="s">
        <v>111</v>
      </c>
      <c r="C84" s="56" t="s">
        <v>44</v>
      </c>
      <c r="D84" s="57">
        <f>1396.6+127</f>
        <v>1523.6</v>
      </c>
      <c r="E84" s="78" t="s">
        <v>52</v>
      </c>
      <c r="F84" s="19">
        <v>0</v>
      </c>
      <c r="G84" s="26">
        <f>28%*D84</f>
        <v>426.608</v>
      </c>
      <c r="H84" s="26">
        <f t="shared" si="11"/>
        <v>426.608</v>
      </c>
      <c r="I84" s="19">
        <v>0</v>
      </c>
      <c r="J84" s="19">
        <v>0</v>
      </c>
      <c r="K84" s="19">
        <v>0</v>
      </c>
      <c r="L84" s="19">
        <v>0</v>
      </c>
      <c r="M84" s="19">
        <f t="shared" si="12"/>
        <v>0</v>
      </c>
      <c r="N84" s="35"/>
      <c r="O84" s="36"/>
      <c r="P84" s="16"/>
    </row>
    <row r="85" spans="1:16" ht="18.75" customHeight="1" x14ac:dyDescent="0.3">
      <c r="A85" s="13"/>
      <c r="B85" s="55"/>
      <c r="C85" s="56"/>
      <c r="D85" s="57"/>
      <c r="E85" s="47" t="s">
        <v>223</v>
      </c>
      <c r="F85" s="26">
        <f>30%*D84</f>
        <v>457.08</v>
      </c>
      <c r="G85" s="26"/>
      <c r="H85" s="26">
        <f>SUM(F85:G85)</f>
        <v>457.08</v>
      </c>
      <c r="I85" s="19">
        <v>0</v>
      </c>
      <c r="J85" s="19">
        <v>0</v>
      </c>
      <c r="K85" s="19">
        <v>0</v>
      </c>
      <c r="L85" s="19">
        <v>0</v>
      </c>
      <c r="M85" s="19">
        <f t="shared" si="12"/>
        <v>0</v>
      </c>
      <c r="N85" s="35"/>
      <c r="O85" s="36"/>
      <c r="P85" s="16"/>
    </row>
    <row r="86" spans="1:16" ht="18.75" customHeight="1" x14ac:dyDescent="0.3">
      <c r="A86" s="13"/>
      <c r="B86" s="14" t="s">
        <v>74</v>
      </c>
      <c r="C86" s="15" t="s">
        <v>43</v>
      </c>
      <c r="D86" s="26">
        <v>1189</v>
      </c>
      <c r="E86" s="50" t="s">
        <v>52</v>
      </c>
      <c r="F86" s="19">
        <v>0</v>
      </c>
      <c r="G86" s="26">
        <f>26%*D86</f>
        <v>309.14</v>
      </c>
      <c r="H86" s="26">
        <f t="shared" si="11"/>
        <v>309.14</v>
      </c>
      <c r="I86" s="19">
        <v>0</v>
      </c>
      <c r="J86" s="19">
        <v>0</v>
      </c>
      <c r="K86" s="19">
        <v>0</v>
      </c>
      <c r="L86" s="19">
        <v>0</v>
      </c>
      <c r="M86" s="19">
        <f t="shared" si="12"/>
        <v>0</v>
      </c>
      <c r="N86" s="35"/>
      <c r="O86" s="36"/>
      <c r="P86" s="16"/>
    </row>
    <row r="87" spans="1:16" ht="18.75" customHeight="1" x14ac:dyDescent="0.3">
      <c r="A87" s="54"/>
      <c r="B87" s="55"/>
      <c r="C87" s="56"/>
      <c r="D87" s="57"/>
      <c r="E87" s="47" t="s">
        <v>223</v>
      </c>
      <c r="F87" s="26">
        <f>40%*D86</f>
        <v>475.6</v>
      </c>
      <c r="G87" s="26"/>
      <c r="H87" s="26">
        <f>SUM(F87:G87)</f>
        <v>475.6</v>
      </c>
      <c r="I87" s="19">
        <v>0</v>
      </c>
      <c r="J87" s="19">
        <v>0</v>
      </c>
      <c r="K87" s="19">
        <v>0</v>
      </c>
      <c r="L87" s="19">
        <v>0</v>
      </c>
      <c r="M87" s="19">
        <f t="shared" si="12"/>
        <v>0</v>
      </c>
      <c r="N87" s="80"/>
      <c r="O87" s="81"/>
      <c r="P87" s="87"/>
    </row>
    <row r="88" spans="1:16" ht="18.75" customHeight="1" x14ac:dyDescent="0.3">
      <c r="A88" s="54"/>
      <c r="B88" s="55" t="s">
        <v>75</v>
      </c>
      <c r="C88" s="56" t="s">
        <v>44</v>
      </c>
      <c r="D88" s="57">
        <v>1391</v>
      </c>
      <c r="E88" s="78" t="s">
        <v>52</v>
      </c>
      <c r="F88" s="19">
        <v>0</v>
      </c>
      <c r="G88" s="26">
        <f>26%*D88</f>
        <v>361.66</v>
      </c>
      <c r="H88" s="26">
        <f t="shared" si="11"/>
        <v>361.66</v>
      </c>
      <c r="I88" s="19">
        <v>0</v>
      </c>
      <c r="J88" s="19"/>
      <c r="K88" s="19">
        <v>1</v>
      </c>
      <c r="L88" s="19">
        <v>0</v>
      </c>
      <c r="M88" s="19">
        <f t="shared" si="12"/>
        <v>1</v>
      </c>
      <c r="N88" s="80"/>
      <c r="O88" s="81"/>
      <c r="P88" s="87"/>
    </row>
    <row r="89" spans="1:16" ht="18.75" customHeight="1" x14ac:dyDescent="0.3">
      <c r="A89" s="141"/>
      <c r="B89" s="117"/>
      <c r="C89" s="116"/>
      <c r="D89" s="109"/>
      <c r="E89" s="110" t="s">
        <v>223</v>
      </c>
      <c r="F89" s="90">
        <f>10%*D88</f>
        <v>139.1</v>
      </c>
      <c r="G89" s="90"/>
      <c r="H89" s="90">
        <f>SUM(F89:G89)</f>
        <v>139.1</v>
      </c>
      <c r="I89" s="19">
        <v>0</v>
      </c>
      <c r="J89" s="19">
        <v>0</v>
      </c>
      <c r="K89" s="19">
        <v>0</v>
      </c>
      <c r="L89" s="19">
        <v>0</v>
      </c>
      <c r="M89" s="19">
        <f t="shared" si="12"/>
        <v>0</v>
      </c>
      <c r="N89" s="93"/>
      <c r="O89" s="113"/>
      <c r="P89" s="5"/>
    </row>
    <row r="90" spans="1:16" ht="18.75" customHeight="1" x14ac:dyDescent="0.3">
      <c r="A90" s="89"/>
      <c r="B90" s="71"/>
      <c r="C90" s="72"/>
      <c r="D90" s="84">
        <f>SUM(D30:D88)</f>
        <v>30736.879999999997</v>
      </c>
      <c r="E90" s="74"/>
      <c r="F90" s="83">
        <f>SUM(F30:F88)</f>
        <v>6688.4324999999999</v>
      </c>
      <c r="G90" s="83">
        <f>SUM(G30:G88)</f>
        <v>10938.997999999998</v>
      </c>
      <c r="H90" s="83">
        <f>SUM(H30:H89)</f>
        <v>17766.530499999997</v>
      </c>
      <c r="I90" s="83">
        <f>SUM(I30:I88)</f>
        <v>0</v>
      </c>
      <c r="J90" s="83">
        <f>SUM(J30:J88)</f>
        <v>27</v>
      </c>
      <c r="K90" s="83">
        <f>SUM(K30:K88)</f>
        <v>56</v>
      </c>
      <c r="L90" s="83">
        <f>SUM(L30:L88)</f>
        <v>0</v>
      </c>
      <c r="M90" s="83">
        <f>SUM(M30:M88)</f>
        <v>83</v>
      </c>
      <c r="N90" s="76"/>
      <c r="O90" s="77"/>
      <c r="P90" s="75"/>
    </row>
    <row r="91" spans="1:16" ht="18.75" customHeight="1" x14ac:dyDescent="0.3">
      <c r="A91" s="63">
        <v>4</v>
      </c>
      <c r="B91" s="64" t="s">
        <v>46</v>
      </c>
      <c r="C91" s="65"/>
      <c r="D91" s="66"/>
      <c r="E91" s="67"/>
      <c r="F91" s="82"/>
      <c r="G91" s="82"/>
      <c r="H91" s="82"/>
      <c r="I91" s="82"/>
      <c r="J91" s="82"/>
      <c r="K91" s="82"/>
      <c r="L91" s="82"/>
      <c r="M91" s="82"/>
      <c r="N91" s="69"/>
      <c r="O91" s="70"/>
      <c r="P91" s="68"/>
    </row>
    <row r="92" spans="1:16" ht="18.75" customHeight="1" x14ac:dyDescent="0.3">
      <c r="A92" s="102"/>
      <c r="B92" s="98" t="s">
        <v>57</v>
      </c>
      <c r="C92" s="99" t="s">
        <v>29</v>
      </c>
      <c r="D92" s="96">
        <v>175</v>
      </c>
      <c r="E92" s="101" t="s">
        <v>233</v>
      </c>
      <c r="F92" s="96"/>
      <c r="G92" s="96">
        <f>51%*D92</f>
        <v>89.25</v>
      </c>
      <c r="H92" s="96">
        <f>SUM(F92:G92)</f>
        <v>89.25</v>
      </c>
      <c r="I92" s="97">
        <v>0</v>
      </c>
      <c r="J92" s="97"/>
      <c r="K92" s="97">
        <v>0</v>
      </c>
      <c r="L92" s="97">
        <v>0</v>
      </c>
      <c r="M92" s="97">
        <f t="shared" ref="M92:M99" si="13">SUM(I92:L92)</f>
        <v>0</v>
      </c>
      <c r="N92" s="35"/>
      <c r="O92" s="36" t="s">
        <v>229</v>
      </c>
      <c r="P92" s="16"/>
    </row>
    <row r="93" spans="1:16" ht="18.75" customHeight="1" x14ac:dyDescent="0.3">
      <c r="A93" s="13"/>
      <c r="B93" s="14" t="s">
        <v>58</v>
      </c>
      <c r="C93" s="15" t="s">
        <v>33</v>
      </c>
      <c r="D93" s="26">
        <v>270</v>
      </c>
      <c r="E93" s="101" t="s">
        <v>233</v>
      </c>
      <c r="F93" s="26">
        <f>5%*D93</f>
        <v>13.5</v>
      </c>
      <c r="G93" s="26">
        <f>40%*D93</f>
        <v>108</v>
      </c>
      <c r="H93" s="26">
        <f t="shared" ref="H93:H99" si="14">SUM(F93:G93)</f>
        <v>121.5</v>
      </c>
      <c r="I93" s="19">
        <v>0</v>
      </c>
      <c r="J93" s="19"/>
      <c r="K93" s="19">
        <v>0</v>
      </c>
      <c r="L93" s="19">
        <v>0</v>
      </c>
      <c r="M93" s="19">
        <f t="shared" si="13"/>
        <v>0</v>
      </c>
      <c r="N93" s="35"/>
      <c r="O93" s="36"/>
      <c r="P93" s="16"/>
    </row>
    <row r="94" spans="1:16" ht="18.75" customHeight="1" x14ac:dyDescent="0.3">
      <c r="A94" s="13"/>
      <c r="B94" s="98" t="s">
        <v>59</v>
      </c>
      <c r="C94" s="99" t="s">
        <v>42</v>
      </c>
      <c r="D94" s="96">
        <v>798.93</v>
      </c>
      <c r="E94" s="101" t="s">
        <v>233</v>
      </c>
      <c r="F94" s="96">
        <f>6%*D94</f>
        <v>47.935799999999993</v>
      </c>
      <c r="G94" s="97">
        <f>3%*D94</f>
        <v>23.967899999999997</v>
      </c>
      <c r="H94" s="96">
        <f t="shared" si="14"/>
        <v>71.903699999999986</v>
      </c>
      <c r="I94" s="97">
        <v>0</v>
      </c>
      <c r="J94" s="97"/>
      <c r="K94" s="97">
        <v>0</v>
      </c>
      <c r="L94" s="97">
        <v>0</v>
      </c>
      <c r="M94" s="97">
        <f t="shared" si="13"/>
        <v>0</v>
      </c>
      <c r="N94" s="35"/>
      <c r="O94" s="36"/>
      <c r="P94" s="16"/>
    </row>
    <row r="95" spans="1:16" ht="18.75" customHeight="1" x14ac:dyDescent="0.3">
      <c r="A95" s="13"/>
      <c r="B95" s="98" t="s">
        <v>60</v>
      </c>
      <c r="C95" s="99" t="s">
        <v>21</v>
      </c>
      <c r="D95" s="96">
        <v>1086.55</v>
      </c>
      <c r="E95" s="101" t="s">
        <v>186</v>
      </c>
      <c r="F95" s="96">
        <f>15%*D95</f>
        <v>162.98249999999999</v>
      </c>
      <c r="G95" s="97">
        <f>30%*D95</f>
        <v>325.96499999999997</v>
      </c>
      <c r="H95" s="96">
        <f t="shared" si="14"/>
        <v>488.94749999999999</v>
      </c>
      <c r="I95" s="97">
        <v>0</v>
      </c>
      <c r="J95" s="97">
        <v>5</v>
      </c>
      <c r="K95" s="97">
        <v>3</v>
      </c>
      <c r="L95" s="97">
        <v>0</v>
      </c>
      <c r="M95" s="97">
        <f t="shared" si="13"/>
        <v>8</v>
      </c>
      <c r="N95" s="35"/>
      <c r="O95" s="36"/>
      <c r="P95" s="16"/>
    </row>
    <row r="96" spans="1:16" ht="18.75" customHeight="1" x14ac:dyDescent="0.3">
      <c r="A96" s="13"/>
      <c r="B96" s="98"/>
      <c r="C96" s="99"/>
      <c r="D96" s="96"/>
      <c r="E96" s="101" t="s">
        <v>233</v>
      </c>
      <c r="F96" s="96"/>
      <c r="G96" s="96">
        <f>35%*D95</f>
        <v>380.29249999999996</v>
      </c>
      <c r="H96" s="96">
        <f>SUM(F96:G96)</f>
        <v>380.29249999999996</v>
      </c>
      <c r="I96" s="19">
        <v>0</v>
      </c>
      <c r="J96" s="19">
        <v>0</v>
      </c>
      <c r="K96" s="19">
        <v>0</v>
      </c>
      <c r="L96" s="19">
        <v>0</v>
      </c>
      <c r="M96" s="19">
        <f t="shared" si="13"/>
        <v>0</v>
      </c>
      <c r="N96" s="35"/>
      <c r="O96" s="36"/>
      <c r="P96" s="16"/>
    </row>
    <row r="97" spans="1:16" ht="18.75" customHeight="1" x14ac:dyDescent="0.3">
      <c r="A97" s="16"/>
      <c r="B97" s="14" t="s">
        <v>61</v>
      </c>
      <c r="C97" s="15" t="s">
        <v>22</v>
      </c>
      <c r="D97" s="26">
        <v>1084.55</v>
      </c>
      <c r="E97" s="101" t="s">
        <v>233</v>
      </c>
      <c r="F97" s="26">
        <f>4%*D97</f>
        <v>43.381999999999998</v>
      </c>
      <c r="G97" s="19">
        <f>25%*D97</f>
        <v>271.13749999999999</v>
      </c>
      <c r="H97" s="26">
        <f t="shared" si="14"/>
        <v>314.51949999999999</v>
      </c>
      <c r="I97" s="19">
        <v>0</v>
      </c>
      <c r="J97" s="19">
        <v>3</v>
      </c>
      <c r="K97" s="19">
        <v>3</v>
      </c>
      <c r="L97" s="19">
        <v>0</v>
      </c>
      <c r="M97" s="19">
        <f t="shared" si="13"/>
        <v>6</v>
      </c>
      <c r="N97" s="35"/>
      <c r="O97" s="36"/>
      <c r="P97" s="16"/>
    </row>
    <row r="98" spans="1:16" ht="18.75" customHeight="1" x14ac:dyDescent="0.3">
      <c r="A98" s="87"/>
      <c r="B98" s="55" t="s">
        <v>62</v>
      </c>
      <c r="C98" s="56" t="s">
        <v>43</v>
      </c>
      <c r="D98" s="57">
        <v>33</v>
      </c>
      <c r="E98" s="101" t="s">
        <v>233</v>
      </c>
      <c r="F98" s="26">
        <f>5%*D98</f>
        <v>1.6500000000000001</v>
      </c>
      <c r="G98" s="19">
        <f>30%*D98</f>
        <v>9.9</v>
      </c>
      <c r="H98" s="26">
        <f t="shared" ref="H98" si="15">SUM(F98:G98)</f>
        <v>11.55</v>
      </c>
      <c r="I98" s="19">
        <v>0</v>
      </c>
      <c r="J98" s="19">
        <v>4</v>
      </c>
      <c r="K98" s="19">
        <v>0</v>
      </c>
      <c r="L98" s="19">
        <v>0</v>
      </c>
      <c r="M98" s="19">
        <f t="shared" ref="M98" si="16">SUM(I98:L98)</f>
        <v>4</v>
      </c>
      <c r="N98" s="80"/>
      <c r="O98" s="81"/>
      <c r="P98" s="87"/>
    </row>
    <row r="99" spans="1:16" ht="24.75" customHeight="1" x14ac:dyDescent="0.3">
      <c r="A99" s="16"/>
      <c r="B99" s="14" t="s">
        <v>63</v>
      </c>
      <c r="C99" s="15" t="s">
        <v>32</v>
      </c>
      <c r="D99" s="26">
        <v>178.5</v>
      </c>
      <c r="E99" s="101" t="s">
        <v>236</v>
      </c>
      <c r="F99" s="26">
        <f>5%*D99</f>
        <v>8.9250000000000007</v>
      </c>
      <c r="G99" s="19">
        <f>30%*D99</f>
        <v>53.55</v>
      </c>
      <c r="H99" s="26">
        <f t="shared" si="14"/>
        <v>62.474999999999994</v>
      </c>
      <c r="I99" s="135">
        <v>0</v>
      </c>
      <c r="J99" s="135">
        <v>4</v>
      </c>
      <c r="K99" s="135">
        <v>0</v>
      </c>
      <c r="L99" s="135">
        <v>0</v>
      </c>
      <c r="M99" s="135">
        <f t="shared" si="13"/>
        <v>4</v>
      </c>
      <c r="N99" s="35"/>
      <c r="O99" s="36"/>
      <c r="P99" s="16"/>
    </row>
    <row r="100" spans="1:16" ht="18.75" customHeight="1" x14ac:dyDescent="0.3">
      <c r="A100" s="75"/>
      <c r="B100" s="71"/>
      <c r="C100" s="72"/>
      <c r="D100" s="73">
        <f>SUM(D92:D99)</f>
        <v>3626.5299999999997</v>
      </c>
      <c r="E100" s="74"/>
      <c r="F100" s="73">
        <f t="shared" ref="F100:K100" si="17">SUM(F92:F99)</f>
        <v>278.37529999999998</v>
      </c>
      <c r="G100" s="83">
        <f t="shared" si="17"/>
        <v>1262.0629000000001</v>
      </c>
      <c r="H100" s="73">
        <f t="shared" si="17"/>
        <v>1540.4381999999998</v>
      </c>
      <c r="I100" s="83">
        <f t="shared" si="17"/>
        <v>0</v>
      </c>
      <c r="J100" s="83">
        <f t="shared" si="17"/>
        <v>16</v>
      </c>
      <c r="K100" s="83">
        <f t="shared" si="17"/>
        <v>6</v>
      </c>
      <c r="L100" s="83"/>
      <c r="M100" s="83">
        <f>SUM(M92:M99)</f>
        <v>22</v>
      </c>
      <c r="N100" s="76"/>
      <c r="O100" s="77"/>
      <c r="P100" s="75"/>
    </row>
    <row r="101" spans="1:16" ht="18.75" customHeight="1" x14ac:dyDescent="0.3">
      <c r="A101" s="63">
        <v>5</v>
      </c>
      <c r="B101" s="64" t="s">
        <v>96</v>
      </c>
      <c r="C101" s="65"/>
      <c r="D101" s="66"/>
      <c r="E101" s="67"/>
      <c r="F101" s="66"/>
      <c r="G101" s="66"/>
      <c r="H101" s="66"/>
      <c r="I101" s="82"/>
      <c r="J101" s="82"/>
      <c r="K101" s="82"/>
      <c r="L101" s="82"/>
      <c r="M101" s="82"/>
      <c r="N101" s="69"/>
      <c r="O101" s="70"/>
      <c r="P101" s="68"/>
    </row>
    <row r="102" spans="1:16" ht="18.75" customHeight="1" x14ac:dyDescent="0.3">
      <c r="A102" s="16"/>
      <c r="B102" s="14" t="s">
        <v>57</v>
      </c>
      <c r="C102" s="15" t="s">
        <v>22</v>
      </c>
      <c r="D102" s="26">
        <v>9.5</v>
      </c>
      <c r="E102" s="47" t="s">
        <v>163</v>
      </c>
      <c r="F102" s="26">
        <f>10%*D102</f>
        <v>0.95000000000000007</v>
      </c>
      <c r="G102" s="26">
        <v>0</v>
      </c>
      <c r="H102" s="26">
        <f t="shared" ref="H102:H110" si="18">SUM(F102:G102)</f>
        <v>0.95000000000000007</v>
      </c>
      <c r="I102" s="19">
        <v>0</v>
      </c>
      <c r="J102" s="19"/>
      <c r="K102" s="19">
        <v>0</v>
      </c>
      <c r="L102" s="19">
        <v>0</v>
      </c>
      <c r="M102" s="19">
        <f>SUM(I102:L102)</f>
        <v>0</v>
      </c>
      <c r="N102" s="35"/>
      <c r="O102" s="36" t="s">
        <v>136</v>
      </c>
      <c r="P102" s="16"/>
    </row>
    <row r="103" spans="1:16" ht="18.75" customHeight="1" x14ac:dyDescent="0.3">
      <c r="A103" s="16"/>
      <c r="B103" s="14" t="s">
        <v>58</v>
      </c>
      <c r="C103" s="15" t="s">
        <v>21</v>
      </c>
      <c r="D103" s="26">
        <v>18.11</v>
      </c>
      <c r="E103" s="47" t="s">
        <v>164</v>
      </c>
      <c r="F103" s="26">
        <f>10%*D103</f>
        <v>1.8109999999999999</v>
      </c>
      <c r="G103" s="26">
        <f>6%*D103</f>
        <v>1.0866</v>
      </c>
      <c r="H103" s="26">
        <f t="shared" si="18"/>
        <v>2.8975999999999997</v>
      </c>
      <c r="I103" s="19">
        <v>0</v>
      </c>
      <c r="J103" s="19">
        <v>1</v>
      </c>
      <c r="K103" s="19">
        <v>0</v>
      </c>
      <c r="L103" s="19">
        <v>0</v>
      </c>
      <c r="M103" s="19">
        <f t="shared" ref="M103:M110" si="19">SUM(I103:L103)</f>
        <v>1</v>
      </c>
      <c r="N103" s="35"/>
      <c r="O103" s="36" t="s">
        <v>50</v>
      </c>
      <c r="P103" s="16"/>
    </row>
    <row r="104" spans="1:16" ht="18.75" customHeight="1" x14ac:dyDescent="0.3">
      <c r="A104" s="16"/>
      <c r="B104" s="14"/>
      <c r="C104" s="15"/>
      <c r="D104" s="26"/>
      <c r="E104" s="49" t="s">
        <v>187</v>
      </c>
      <c r="F104" s="96">
        <v>1</v>
      </c>
      <c r="G104" s="96">
        <v>0</v>
      </c>
      <c r="H104" s="96">
        <f t="shared" si="18"/>
        <v>1</v>
      </c>
      <c r="I104" s="97">
        <v>0</v>
      </c>
      <c r="J104" s="97">
        <v>0</v>
      </c>
      <c r="K104" s="97">
        <v>0</v>
      </c>
      <c r="L104" s="97">
        <v>0</v>
      </c>
      <c r="M104" s="97">
        <f t="shared" si="19"/>
        <v>0</v>
      </c>
      <c r="N104" s="35"/>
      <c r="O104" s="36"/>
      <c r="P104" s="16"/>
    </row>
    <row r="105" spans="1:16" ht="18.75" customHeight="1" x14ac:dyDescent="0.3">
      <c r="A105" s="16"/>
      <c r="B105" s="14" t="s">
        <v>59</v>
      </c>
      <c r="C105" s="15" t="s">
        <v>43</v>
      </c>
      <c r="D105" s="26">
        <v>18.79</v>
      </c>
      <c r="E105" s="47" t="s">
        <v>163</v>
      </c>
      <c r="F105" s="26">
        <f t="shared" ref="F105:F110" si="20">10%*D105</f>
        <v>1.879</v>
      </c>
      <c r="G105" s="26">
        <v>0</v>
      </c>
      <c r="H105" s="26">
        <f t="shared" si="18"/>
        <v>1.879</v>
      </c>
      <c r="I105" s="19">
        <v>0</v>
      </c>
      <c r="J105" s="19">
        <v>2</v>
      </c>
      <c r="K105" s="19">
        <v>1</v>
      </c>
      <c r="L105" s="19">
        <v>0</v>
      </c>
      <c r="M105" s="19">
        <f t="shared" si="19"/>
        <v>3</v>
      </c>
      <c r="N105" s="35"/>
      <c r="O105" s="36" t="s">
        <v>137</v>
      </c>
      <c r="P105" s="16"/>
    </row>
    <row r="106" spans="1:16" ht="18.75" customHeight="1" x14ac:dyDescent="0.3">
      <c r="A106" s="16"/>
      <c r="B106" s="14" t="s">
        <v>60</v>
      </c>
      <c r="C106" s="15" t="s">
        <v>44</v>
      </c>
      <c r="D106" s="26">
        <v>30.5</v>
      </c>
      <c r="E106" s="47" t="s">
        <v>164</v>
      </c>
      <c r="F106" s="26">
        <f t="shared" si="20"/>
        <v>3.0500000000000003</v>
      </c>
      <c r="G106" s="26">
        <v>0</v>
      </c>
      <c r="H106" s="26">
        <f t="shared" si="18"/>
        <v>3.0500000000000003</v>
      </c>
      <c r="I106" s="19">
        <v>0</v>
      </c>
      <c r="J106" s="19">
        <v>0</v>
      </c>
      <c r="K106" s="19">
        <v>0</v>
      </c>
      <c r="L106" s="19">
        <v>0</v>
      </c>
      <c r="M106" s="19">
        <f t="shared" si="19"/>
        <v>0</v>
      </c>
      <c r="N106" s="35"/>
      <c r="O106" s="36" t="s">
        <v>145</v>
      </c>
      <c r="P106" s="16"/>
    </row>
    <row r="107" spans="1:16" ht="18.75" customHeight="1" x14ac:dyDescent="0.3">
      <c r="A107" s="16"/>
      <c r="B107" s="14" t="s">
        <v>61</v>
      </c>
      <c r="C107" s="15" t="s">
        <v>33</v>
      </c>
      <c r="D107" s="26">
        <v>5.5</v>
      </c>
      <c r="E107" s="47" t="s">
        <v>163</v>
      </c>
      <c r="F107" s="26">
        <f t="shared" si="20"/>
        <v>0.55000000000000004</v>
      </c>
      <c r="G107" s="26">
        <v>0</v>
      </c>
      <c r="H107" s="26">
        <f t="shared" si="18"/>
        <v>0.55000000000000004</v>
      </c>
      <c r="I107" s="19">
        <v>0</v>
      </c>
      <c r="J107" s="19">
        <v>0</v>
      </c>
      <c r="K107" s="19">
        <v>0</v>
      </c>
      <c r="L107" s="19">
        <v>0</v>
      </c>
      <c r="M107" s="19">
        <f t="shared" si="19"/>
        <v>0</v>
      </c>
      <c r="N107" s="35"/>
      <c r="O107" s="36" t="s">
        <v>146</v>
      </c>
      <c r="P107" s="16"/>
    </row>
    <row r="108" spans="1:16" ht="18.75" customHeight="1" x14ac:dyDescent="0.3">
      <c r="A108" s="16"/>
      <c r="B108" s="14" t="s">
        <v>62</v>
      </c>
      <c r="C108" s="15" t="s">
        <v>32</v>
      </c>
      <c r="D108" s="26">
        <v>1.25</v>
      </c>
      <c r="E108" s="47" t="s">
        <v>163</v>
      </c>
      <c r="F108" s="26">
        <f t="shared" si="20"/>
        <v>0.125</v>
      </c>
      <c r="G108" s="26">
        <v>0</v>
      </c>
      <c r="H108" s="26">
        <f t="shared" si="18"/>
        <v>0.125</v>
      </c>
      <c r="I108" s="19">
        <v>0</v>
      </c>
      <c r="J108" s="19">
        <v>0</v>
      </c>
      <c r="K108" s="19">
        <v>0</v>
      </c>
      <c r="L108" s="19">
        <v>0</v>
      </c>
      <c r="M108" s="19">
        <f t="shared" si="19"/>
        <v>0</v>
      </c>
      <c r="N108" s="35"/>
      <c r="O108" s="36"/>
      <c r="P108" s="16"/>
    </row>
    <row r="109" spans="1:16" ht="18.75" customHeight="1" x14ac:dyDescent="0.3">
      <c r="A109" s="16"/>
      <c r="B109" s="14">
        <v>9</v>
      </c>
      <c r="C109" s="15" t="s">
        <v>30</v>
      </c>
      <c r="D109" s="26">
        <v>10</v>
      </c>
      <c r="E109" s="47" t="s">
        <v>163</v>
      </c>
      <c r="F109" s="26">
        <f t="shared" si="20"/>
        <v>1</v>
      </c>
      <c r="G109" s="26">
        <v>0</v>
      </c>
      <c r="H109" s="26">
        <f t="shared" si="18"/>
        <v>1</v>
      </c>
      <c r="I109" s="19">
        <v>0</v>
      </c>
      <c r="J109" s="19">
        <v>0</v>
      </c>
      <c r="K109" s="19">
        <v>0</v>
      </c>
      <c r="L109" s="19">
        <v>0</v>
      </c>
      <c r="M109" s="19">
        <f t="shared" si="19"/>
        <v>0</v>
      </c>
      <c r="N109" s="35"/>
      <c r="O109" s="36"/>
      <c r="P109" s="16"/>
    </row>
    <row r="110" spans="1:16" ht="18.75" customHeight="1" x14ac:dyDescent="0.3">
      <c r="A110" s="87"/>
      <c r="B110" s="55" t="s">
        <v>64</v>
      </c>
      <c r="C110" s="56" t="s">
        <v>31</v>
      </c>
      <c r="D110" s="57">
        <v>4</v>
      </c>
      <c r="E110" s="85" t="s">
        <v>164</v>
      </c>
      <c r="F110" s="26">
        <f t="shared" si="20"/>
        <v>0.4</v>
      </c>
      <c r="G110" s="26">
        <v>0</v>
      </c>
      <c r="H110" s="26">
        <f t="shared" si="18"/>
        <v>0.4</v>
      </c>
      <c r="I110" s="79">
        <v>0</v>
      </c>
      <c r="J110" s="79">
        <v>0</v>
      </c>
      <c r="K110" s="79">
        <v>0</v>
      </c>
      <c r="L110" s="79">
        <v>0</v>
      </c>
      <c r="M110" s="79">
        <f t="shared" si="19"/>
        <v>0</v>
      </c>
      <c r="N110" s="80"/>
      <c r="O110" s="81"/>
      <c r="P110" s="87"/>
    </row>
    <row r="111" spans="1:16" ht="18.75" customHeight="1" x14ac:dyDescent="0.3">
      <c r="A111" s="75"/>
      <c r="B111" s="71"/>
      <c r="C111" s="72"/>
      <c r="D111" s="73">
        <f>SUM(D102:D110)</f>
        <v>97.65</v>
      </c>
      <c r="E111" s="74"/>
      <c r="F111" s="73">
        <f t="shared" ref="F111:K111" si="21">SUM(F102:F110)</f>
        <v>10.765000000000002</v>
      </c>
      <c r="G111" s="83">
        <f t="shared" si="21"/>
        <v>1.0866</v>
      </c>
      <c r="H111" s="73">
        <f t="shared" si="21"/>
        <v>11.851600000000001</v>
      </c>
      <c r="I111" s="83">
        <f t="shared" si="21"/>
        <v>0</v>
      </c>
      <c r="J111" s="83">
        <f t="shared" si="21"/>
        <v>3</v>
      </c>
      <c r="K111" s="83">
        <f t="shared" si="21"/>
        <v>1</v>
      </c>
      <c r="L111" s="83">
        <f>SUM(L84:L93)</f>
        <v>0</v>
      </c>
      <c r="M111" s="83">
        <f>SUM(M102:M110)</f>
        <v>4</v>
      </c>
      <c r="N111" s="76"/>
      <c r="O111" s="77"/>
      <c r="P111" s="75"/>
    </row>
    <row r="112" spans="1:16" ht="17.25" customHeight="1" x14ac:dyDescent="0.3">
      <c r="A112" s="103">
        <v>6</v>
      </c>
      <c r="B112" s="104" t="s">
        <v>116</v>
      </c>
      <c r="C112" s="104"/>
      <c r="D112" s="105"/>
      <c r="E112" s="106"/>
      <c r="F112" s="105"/>
      <c r="G112" s="107"/>
      <c r="H112" s="105"/>
      <c r="I112" s="107"/>
      <c r="J112" s="107"/>
      <c r="K112" s="107"/>
      <c r="L112" s="107"/>
      <c r="M112" s="107"/>
      <c r="N112" s="114"/>
      <c r="O112" s="112"/>
      <c r="P112" s="104"/>
    </row>
    <row r="113" spans="1:16" ht="64.5" customHeight="1" x14ac:dyDescent="0.3">
      <c r="A113" s="16"/>
      <c r="B113" s="98" t="s">
        <v>57</v>
      </c>
      <c r="C113" s="99" t="s">
        <v>30</v>
      </c>
      <c r="D113" s="96">
        <v>24.5</v>
      </c>
      <c r="E113" s="101" t="s">
        <v>188</v>
      </c>
      <c r="F113" s="96">
        <f>3%*D113</f>
        <v>0.73499999999999999</v>
      </c>
      <c r="G113" s="97">
        <v>0</v>
      </c>
      <c r="H113" s="96">
        <f t="shared" ref="H113:H117" si="22">SUM(F113:G113)</f>
        <v>0.73499999999999999</v>
      </c>
      <c r="I113" s="97">
        <v>0</v>
      </c>
      <c r="J113" s="97"/>
      <c r="K113" s="97">
        <v>0</v>
      </c>
      <c r="L113" s="97">
        <v>0</v>
      </c>
      <c r="M113" s="97">
        <f>SUM(I113:L113)</f>
        <v>0</v>
      </c>
      <c r="N113" s="35"/>
      <c r="O113" s="40" t="s">
        <v>189</v>
      </c>
      <c r="P113" s="16"/>
    </row>
    <row r="114" spans="1:16" ht="26.25" customHeight="1" x14ac:dyDescent="0.3">
      <c r="A114" s="16"/>
      <c r="B114" s="14" t="s">
        <v>58</v>
      </c>
      <c r="C114" s="15" t="s">
        <v>44</v>
      </c>
      <c r="D114" s="26">
        <v>72.03</v>
      </c>
      <c r="E114" s="47" t="s">
        <v>182</v>
      </c>
      <c r="F114" s="26">
        <f>9%*D114</f>
        <v>6.4826999999999995</v>
      </c>
      <c r="G114" s="19">
        <v>0</v>
      </c>
      <c r="H114" s="26">
        <f t="shared" si="22"/>
        <v>6.4826999999999995</v>
      </c>
      <c r="I114" s="19">
        <v>0</v>
      </c>
      <c r="J114" s="19">
        <f>2%*D114</f>
        <v>1.4406000000000001</v>
      </c>
      <c r="K114" s="19">
        <v>0</v>
      </c>
      <c r="L114" s="19">
        <v>0</v>
      </c>
      <c r="M114" s="19">
        <f t="shared" ref="M114:M117" si="23">SUM(I114:L114)</f>
        <v>1.4406000000000001</v>
      </c>
      <c r="N114" s="35"/>
      <c r="O114" s="36"/>
      <c r="P114" s="16"/>
    </row>
    <row r="115" spans="1:16" ht="30.75" customHeight="1" x14ac:dyDescent="0.3">
      <c r="A115" s="16"/>
      <c r="B115" s="14"/>
      <c r="C115" s="15"/>
      <c r="D115" s="26"/>
      <c r="E115" s="101" t="s">
        <v>181</v>
      </c>
      <c r="F115" s="96">
        <f>10%*D114</f>
        <v>7.2030000000000003</v>
      </c>
      <c r="G115" s="97">
        <v>0</v>
      </c>
      <c r="H115" s="96">
        <f t="shared" si="22"/>
        <v>7.2030000000000003</v>
      </c>
      <c r="I115" s="97">
        <v>0</v>
      </c>
      <c r="J115" s="97"/>
      <c r="K115" s="97">
        <v>0</v>
      </c>
      <c r="L115" s="97">
        <v>0</v>
      </c>
      <c r="M115" s="97">
        <f>SUM(I115:L115)</f>
        <v>0</v>
      </c>
      <c r="N115" s="35"/>
      <c r="O115" s="36"/>
      <c r="P115" s="16"/>
    </row>
    <row r="116" spans="1:16" ht="30" customHeight="1" x14ac:dyDescent="0.3">
      <c r="A116" s="16"/>
      <c r="B116" s="14" t="s">
        <v>59</v>
      </c>
      <c r="C116" s="15" t="s">
        <v>33</v>
      </c>
      <c r="D116" s="26">
        <v>14.2</v>
      </c>
      <c r="E116" s="101" t="s">
        <v>181</v>
      </c>
      <c r="F116" s="26">
        <f>9%*D116</f>
        <v>1.2779999999999998</v>
      </c>
      <c r="G116" s="19">
        <v>0</v>
      </c>
      <c r="H116" s="26">
        <f t="shared" si="22"/>
        <v>1.2779999999999998</v>
      </c>
      <c r="I116" s="19">
        <v>0</v>
      </c>
      <c r="J116" s="19"/>
      <c r="K116" s="19"/>
      <c r="L116" s="19">
        <v>0</v>
      </c>
      <c r="M116" s="19">
        <f t="shared" si="23"/>
        <v>0</v>
      </c>
      <c r="N116" s="35"/>
      <c r="O116" s="36"/>
      <c r="P116" s="16"/>
    </row>
    <row r="117" spans="1:16" ht="41.25" customHeight="1" x14ac:dyDescent="0.3">
      <c r="A117" s="108"/>
      <c r="B117" s="128" t="s">
        <v>61</v>
      </c>
      <c r="C117" s="126" t="s">
        <v>35</v>
      </c>
      <c r="D117" s="127">
        <v>35.72</v>
      </c>
      <c r="E117" s="142" t="s">
        <v>183</v>
      </c>
      <c r="F117" s="127">
        <f>8%*D117</f>
        <v>2.8576000000000001</v>
      </c>
      <c r="G117" s="143">
        <v>0</v>
      </c>
      <c r="H117" s="127">
        <f t="shared" si="22"/>
        <v>2.8576000000000001</v>
      </c>
      <c r="I117" s="143">
        <v>0</v>
      </c>
      <c r="J117" s="143">
        <v>0</v>
      </c>
      <c r="K117" s="143">
        <v>0</v>
      </c>
      <c r="L117" s="143">
        <v>0</v>
      </c>
      <c r="M117" s="143">
        <f t="shared" si="23"/>
        <v>0</v>
      </c>
      <c r="N117" s="115"/>
      <c r="O117" s="113"/>
      <c r="P117" s="108"/>
    </row>
    <row r="118" spans="1:16" ht="24" customHeight="1" x14ac:dyDescent="0.3">
      <c r="A118" s="75"/>
      <c r="B118" s="136"/>
      <c r="C118" s="137"/>
      <c r="D118" s="138">
        <f>SUM(D113:D117)</f>
        <v>146.44999999999999</v>
      </c>
      <c r="E118" s="139"/>
      <c r="F118" s="138">
        <f>SUM(F113:F117)</f>
        <v>18.5563</v>
      </c>
      <c r="G118" s="140">
        <f>SUM(G113:G117)</f>
        <v>0</v>
      </c>
      <c r="H118" s="138">
        <f>SUM(H113:H117)</f>
        <v>18.5563</v>
      </c>
      <c r="I118" s="140"/>
      <c r="J118" s="140"/>
      <c r="K118" s="140"/>
      <c r="L118" s="140"/>
      <c r="M118" s="140"/>
      <c r="N118" s="76"/>
      <c r="O118" s="77"/>
      <c r="P118" s="75"/>
    </row>
    <row r="119" spans="1:16" ht="18.75" customHeight="1" x14ac:dyDescent="0.3">
      <c r="A119" s="63">
        <v>7</v>
      </c>
      <c r="B119" s="8" t="s">
        <v>117</v>
      </c>
      <c r="C119" s="10"/>
      <c r="D119" s="90"/>
      <c r="E119" s="67"/>
      <c r="F119" s="66"/>
      <c r="G119" s="82"/>
      <c r="H119" s="66"/>
      <c r="I119" s="82"/>
      <c r="J119" s="82"/>
      <c r="K119" s="82"/>
      <c r="L119" s="82"/>
      <c r="M119" s="82"/>
      <c r="N119" s="69"/>
      <c r="O119" s="70"/>
      <c r="P119" s="5"/>
    </row>
    <row r="120" spans="1:16" ht="24.75" customHeight="1" x14ac:dyDescent="0.3">
      <c r="A120" s="16"/>
      <c r="B120" s="14" t="s">
        <v>57</v>
      </c>
      <c r="C120" s="15" t="s">
        <v>22</v>
      </c>
      <c r="D120" s="26">
        <v>296.95</v>
      </c>
      <c r="E120" s="101" t="s">
        <v>203</v>
      </c>
      <c r="F120" s="96">
        <f>10%*D120</f>
        <v>29.695</v>
      </c>
      <c r="G120" s="97">
        <v>0</v>
      </c>
      <c r="H120" s="96">
        <f t="shared" ref="H120:H130" si="24">SUM(F120:G120)</f>
        <v>29.695</v>
      </c>
      <c r="I120" s="97">
        <v>0</v>
      </c>
      <c r="J120" s="97">
        <v>10</v>
      </c>
      <c r="K120" s="97">
        <v>0</v>
      </c>
      <c r="L120" s="97">
        <v>3</v>
      </c>
      <c r="M120" s="97">
        <f>SUM(I120:L120)</f>
        <v>13</v>
      </c>
      <c r="N120" s="35"/>
      <c r="O120" s="40" t="s">
        <v>211</v>
      </c>
      <c r="P120" s="87"/>
    </row>
    <row r="121" spans="1:16" ht="18.75" customHeight="1" x14ac:dyDescent="0.3">
      <c r="A121" s="16"/>
      <c r="B121" s="14"/>
      <c r="C121" s="15"/>
      <c r="D121" s="26"/>
      <c r="E121" s="101" t="s">
        <v>220</v>
      </c>
      <c r="F121" s="96">
        <f>15%*D120</f>
        <v>44.542499999999997</v>
      </c>
      <c r="G121" s="97"/>
      <c r="H121" s="96">
        <f>SUM(F121:G121)</f>
        <v>44.542499999999997</v>
      </c>
      <c r="I121" s="97"/>
      <c r="J121" s="97"/>
      <c r="K121" s="97"/>
      <c r="L121" s="97"/>
      <c r="M121" s="97"/>
      <c r="N121" s="35"/>
      <c r="O121" s="40"/>
      <c r="P121" s="87"/>
    </row>
    <row r="122" spans="1:16" ht="32.25" customHeight="1" x14ac:dyDescent="0.3">
      <c r="A122" s="16"/>
      <c r="B122" s="14" t="s">
        <v>58</v>
      </c>
      <c r="C122" s="15" t="s">
        <v>42</v>
      </c>
      <c r="D122" s="26">
        <v>190.5</v>
      </c>
      <c r="E122" s="101" t="s">
        <v>203</v>
      </c>
      <c r="F122" s="96">
        <f>10%*D122</f>
        <v>19.05</v>
      </c>
      <c r="G122" s="97">
        <v>0</v>
      </c>
      <c r="H122" s="96">
        <f t="shared" si="24"/>
        <v>19.05</v>
      </c>
      <c r="I122" s="97">
        <v>0</v>
      </c>
      <c r="J122" s="97"/>
      <c r="K122" s="97">
        <v>0</v>
      </c>
      <c r="L122" s="97">
        <v>2</v>
      </c>
      <c r="M122" s="97">
        <f>SUM(I122:L122)</f>
        <v>2</v>
      </c>
      <c r="N122" s="35"/>
      <c r="O122" s="40" t="s">
        <v>219</v>
      </c>
      <c r="P122" s="87"/>
    </row>
    <row r="123" spans="1:16" ht="18.75" customHeight="1" x14ac:dyDescent="0.3">
      <c r="A123" s="16"/>
      <c r="B123" s="14"/>
      <c r="C123" s="15"/>
      <c r="D123" s="26"/>
      <c r="E123" s="101" t="s">
        <v>220</v>
      </c>
      <c r="F123" s="96">
        <f>15%*D122</f>
        <v>28.574999999999999</v>
      </c>
      <c r="G123" s="97"/>
      <c r="H123" s="96">
        <f>SUM(F123:G123)</f>
        <v>28.574999999999999</v>
      </c>
      <c r="I123" s="97"/>
      <c r="J123" s="97"/>
      <c r="K123" s="97"/>
      <c r="L123" s="97"/>
      <c r="M123" s="97"/>
      <c r="N123" s="35"/>
      <c r="O123" s="40"/>
      <c r="P123" s="87"/>
    </row>
    <row r="124" spans="1:16" ht="22.5" customHeight="1" x14ac:dyDescent="0.3">
      <c r="A124" s="16"/>
      <c r="B124" s="14" t="s">
        <v>59</v>
      </c>
      <c r="C124" s="15" t="s">
        <v>21</v>
      </c>
      <c r="D124" s="18" t="s">
        <v>201</v>
      </c>
      <c r="E124" s="101" t="s">
        <v>203</v>
      </c>
      <c r="F124" s="96">
        <v>3</v>
      </c>
      <c r="G124" s="97">
        <v>0</v>
      </c>
      <c r="H124" s="96">
        <f t="shared" si="24"/>
        <v>3</v>
      </c>
      <c r="I124" s="97">
        <v>0</v>
      </c>
      <c r="J124" s="97"/>
      <c r="K124" s="97">
        <v>0</v>
      </c>
      <c r="L124" s="97">
        <v>0</v>
      </c>
      <c r="M124" s="97">
        <f>SUM(I124:L124)</f>
        <v>0</v>
      </c>
      <c r="N124" s="35"/>
      <c r="O124" s="36"/>
      <c r="P124" s="87"/>
    </row>
    <row r="125" spans="1:16" ht="18.75" customHeight="1" x14ac:dyDescent="0.3">
      <c r="A125" s="16"/>
      <c r="B125" s="14"/>
      <c r="C125" s="15"/>
      <c r="D125" s="18"/>
      <c r="E125" s="101" t="s">
        <v>220</v>
      </c>
      <c r="F125" s="134">
        <v>15</v>
      </c>
      <c r="G125" s="97"/>
      <c r="H125" s="96">
        <f>SUM(F125:G125)</f>
        <v>15</v>
      </c>
      <c r="I125" s="97"/>
      <c r="J125" s="97"/>
      <c r="K125" s="97"/>
      <c r="L125" s="97"/>
      <c r="M125" s="97"/>
      <c r="N125" s="35"/>
      <c r="O125" s="36"/>
      <c r="P125" s="87"/>
    </row>
    <row r="126" spans="1:16" ht="24" customHeight="1" x14ac:dyDescent="0.3">
      <c r="A126" s="16"/>
      <c r="B126" s="14" t="s">
        <v>60</v>
      </c>
      <c r="C126" s="15" t="s">
        <v>43</v>
      </c>
      <c r="D126" s="26">
        <v>244.8</v>
      </c>
      <c r="E126" s="101" t="s">
        <v>221</v>
      </c>
      <c r="F126" s="96">
        <f>10%*D126</f>
        <v>24.480000000000004</v>
      </c>
      <c r="G126" s="97">
        <v>0</v>
      </c>
      <c r="H126" s="96">
        <f t="shared" si="24"/>
        <v>24.480000000000004</v>
      </c>
      <c r="I126" s="97">
        <v>0</v>
      </c>
      <c r="J126" s="97">
        <v>10</v>
      </c>
      <c r="K126" s="97">
        <v>0</v>
      </c>
      <c r="L126" s="97">
        <v>4</v>
      </c>
      <c r="M126" s="97">
        <f>SUM(I126:L126)</f>
        <v>14</v>
      </c>
      <c r="N126" s="35"/>
      <c r="O126" s="36"/>
      <c r="P126" s="87"/>
    </row>
    <row r="127" spans="1:16" ht="20.25" customHeight="1" x14ac:dyDescent="0.3">
      <c r="A127" s="16"/>
      <c r="B127" s="14"/>
      <c r="C127" s="15"/>
      <c r="D127" s="26"/>
      <c r="E127" s="101" t="s">
        <v>220</v>
      </c>
      <c r="F127" s="96"/>
      <c r="G127" s="96">
        <f>20%*D126</f>
        <v>48.960000000000008</v>
      </c>
      <c r="H127" s="96">
        <f>SUM(F127:G127)</f>
        <v>48.960000000000008</v>
      </c>
      <c r="I127" s="97"/>
      <c r="J127" s="97"/>
      <c r="K127" s="97"/>
      <c r="L127" s="97"/>
      <c r="M127" s="97"/>
      <c r="N127" s="35"/>
      <c r="O127" s="36"/>
      <c r="P127" s="87"/>
    </row>
    <row r="128" spans="1:16" ht="18.75" customHeight="1" x14ac:dyDescent="0.3">
      <c r="A128" s="16"/>
      <c r="B128" s="14" t="s">
        <v>61</v>
      </c>
      <c r="C128" s="15" t="s">
        <v>44</v>
      </c>
      <c r="D128" s="26">
        <v>57.95</v>
      </c>
      <c r="E128" s="101" t="s">
        <v>203</v>
      </c>
      <c r="F128" s="26">
        <f>10%*D128</f>
        <v>5.7950000000000008</v>
      </c>
      <c r="G128" s="19">
        <v>0</v>
      </c>
      <c r="H128" s="26">
        <f t="shared" si="24"/>
        <v>5.7950000000000008</v>
      </c>
      <c r="I128" s="19">
        <v>0</v>
      </c>
      <c r="J128" s="19"/>
      <c r="K128" s="19"/>
      <c r="L128" s="19">
        <v>0</v>
      </c>
      <c r="M128" s="19">
        <f t="shared" ref="M128:M131" si="25">SUM(I128:L128)</f>
        <v>0</v>
      </c>
      <c r="N128" s="35"/>
      <c r="O128" s="36"/>
      <c r="P128" s="87"/>
    </row>
    <row r="129" spans="1:16" ht="18.75" customHeight="1" x14ac:dyDescent="0.3">
      <c r="A129" s="16"/>
      <c r="B129" s="14"/>
      <c r="C129" s="15"/>
      <c r="D129" s="26"/>
      <c r="E129" s="101" t="s">
        <v>220</v>
      </c>
      <c r="F129" s="26"/>
      <c r="G129" s="26">
        <f>10%*D128</f>
        <v>5.7950000000000008</v>
      </c>
      <c r="H129" s="26">
        <f>SUM(F129:G129)</f>
        <v>5.7950000000000008</v>
      </c>
      <c r="I129" s="97">
        <v>0</v>
      </c>
      <c r="J129" s="97">
        <v>0</v>
      </c>
      <c r="K129" s="97">
        <v>0</v>
      </c>
      <c r="L129" s="97">
        <v>0</v>
      </c>
      <c r="M129" s="97">
        <f t="shared" si="25"/>
        <v>0</v>
      </c>
      <c r="N129" s="35"/>
      <c r="O129" s="36"/>
      <c r="P129" s="87"/>
    </row>
    <row r="130" spans="1:16" ht="18.75" customHeight="1" x14ac:dyDescent="0.3">
      <c r="A130" s="16"/>
      <c r="B130" s="14" t="s">
        <v>62</v>
      </c>
      <c r="C130" s="15" t="s">
        <v>27</v>
      </c>
      <c r="D130" s="26">
        <v>2.5</v>
      </c>
      <c r="E130" s="101" t="s">
        <v>203</v>
      </c>
      <c r="F130" s="96">
        <f>10%*D130</f>
        <v>0.25</v>
      </c>
      <c r="G130" s="97">
        <v>0</v>
      </c>
      <c r="H130" s="96">
        <f t="shared" si="24"/>
        <v>0.25</v>
      </c>
      <c r="I130" s="97">
        <v>0</v>
      </c>
      <c r="J130" s="97">
        <v>0</v>
      </c>
      <c r="K130" s="97">
        <v>0</v>
      </c>
      <c r="L130" s="97">
        <v>0</v>
      </c>
      <c r="M130" s="97">
        <f t="shared" si="25"/>
        <v>0</v>
      </c>
      <c r="N130" s="35"/>
      <c r="O130" s="36"/>
      <c r="P130" s="87"/>
    </row>
    <row r="131" spans="1:16" ht="18.75" customHeight="1" x14ac:dyDescent="0.3">
      <c r="A131" s="87"/>
      <c r="B131" s="55"/>
      <c r="C131" s="56"/>
      <c r="D131" s="57"/>
      <c r="E131" s="132" t="s">
        <v>220</v>
      </c>
      <c r="F131" s="124">
        <f>10%*D130</f>
        <v>0.25</v>
      </c>
      <c r="G131" s="124">
        <f>20%*D130</f>
        <v>0.5</v>
      </c>
      <c r="H131" s="124">
        <f>SUM(F131:G131)</f>
        <v>0.75</v>
      </c>
      <c r="I131" s="133">
        <v>0</v>
      </c>
      <c r="J131" s="133">
        <v>0</v>
      </c>
      <c r="K131" s="133">
        <v>0</v>
      </c>
      <c r="L131" s="133">
        <v>0</v>
      </c>
      <c r="M131" s="133">
        <f t="shared" si="25"/>
        <v>0</v>
      </c>
      <c r="N131" s="80"/>
      <c r="O131" s="81"/>
      <c r="P131" s="87"/>
    </row>
    <row r="132" spans="1:16" ht="18.75" customHeight="1" x14ac:dyDescent="0.3">
      <c r="A132" s="75"/>
      <c r="B132" s="71"/>
      <c r="C132" s="72"/>
      <c r="D132" s="73">
        <f>SUM(D120:D131)</f>
        <v>792.7</v>
      </c>
      <c r="E132" s="74"/>
      <c r="F132" s="73">
        <f>SUM(F113:F131)</f>
        <v>207.7501</v>
      </c>
      <c r="G132" s="83">
        <f>SUM(G113:G131)</f>
        <v>55.25500000000001</v>
      </c>
      <c r="H132" s="73">
        <f>SUM(H113:H131)</f>
        <v>263.00510000000003</v>
      </c>
      <c r="I132" s="83"/>
      <c r="J132" s="83"/>
      <c r="K132" s="83"/>
      <c r="L132" s="83"/>
      <c r="M132" s="83"/>
      <c r="N132" s="71"/>
      <c r="O132" s="72"/>
      <c r="P132" s="75"/>
    </row>
    <row r="133" spans="1:16" ht="8.25" customHeight="1" x14ac:dyDescent="0.3">
      <c r="F133" s="2"/>
      <c r="G133" s="2"/>
      <c r="H133" s="2"/>
      <c r="I133" s="2"/>
      <c r="J133" s="2"/>
      <c r="K133" s="2"/>
      <c r="L133" s="2"/>
      <c r="M133" s="2"/>
    </row>
    <row r="134" spans="1:16" ht="14.25" customHeight="1" x14ac:dyDescent="0.3">
      <c r="F134" s="2"/>
      <c r="G134" s="2"/>
      <c r="H134" s="2"/>
      <c r="I134" s="2"/>
      <c r="J134" s="2" t="s">
        <v>232</v>
      </c>
      <c r="K134" s="2"/>
      <c r="L134" s="2"/>
      <c r="M134" s="2"/>
    </row>
    <row r="135" spans="1:16" ht="12" customHeight="1" x14ac:dyDescent="0.3">
      <c r="A135" s="395" t="s">
        <v>80</v>
      </c>
      <c r="B135" s="395"/>
      <c r="C135" s="395"/>
      <c r="D135" s="395"/>
    </row>
    <row r="136" spans="1:16" x14ac:dyDescent="0.3">
      <c r="A136" s="395" t="s">
        <v>81</v>
      </c>
      <c r="B136" s="395"/>
      <c r="C136" s="395"/>
      <c r="D136" s="395"/>
      <c r="J136" s="1" t="s">
        <v>85</v>
      </c>
    </row>
    <row r="137" spans="1:16" x14ac:dyDescent="0.3">
      <c r="A137" s="395" t="s">
        <v>82</v>
      </c>
      <c r="B137" s="395"/>
      <c r="C137" s="395"/>
      <c r="D137" s="395"/>
      <c r="J137" s="3" t="s">
        <v>86</v>
      </c>
      <c r="K137" s="1" t="s">
        <v>87</v>
      </c>
      <c r="O137" s="1" t="s">
        <v>90</v>
      </c>
    </row>
    <row r="138" spans="1:16" x14ac:dyDescent="0.3">
      <c r="A138" s="395" t="s">
        <v>83</v>
      </c>
      <c r="B138" s="395"/>
      <c r="C138" s="395"/>
      <c r="D138" s="395"/>
      <c r="K138" s="1" t="s">
        <v>91</v>
      </c>
    </row>
    <row r="139" spans="1:16" ht="13.5" customHeight="1" x14ac:dyDescent="0.3"/>
    <row r="140" spans="1:16" ht="13.5" customHeight="1" x14ac:dyDescent="0.3"/>
    <row r="141" spans="1:16" x14ac:dyDescent="0.3">
      <c r="A141" s="398" t="s">
        <v>175</v>
      </c>
      <c r="B141" s="398"/>
      <c r="C141" s="398"/>
      <c r="D141" s="398"/>
      <c r="J141" s="3" t="s">
        <v>88</v>
      </c>
      <c r="K141" s="1" t="s">
        <v>89</v>
      </c>
      <c r="O141" s="1" t="s">
        <v>90</v>
      </c>
    </row>
    <row r="142" spans="1:16" x14ac:dyDescent="0.3">
      <c r="A142" s="395" t="s">
        <v>190</v>
      </c>
      <c r="B142" s="395"/>
      <c r="C142" s="395"/>
      <c r="D142" s="395"/>
      <c r="K142" s="1" t="s">
        <v>92</v>
      </c>
    </row>
  </sheetData>
  <mergeCells count="17">
    <mergeCell ref="A1:P1"/>
    <mergeCell ref="A6:A7"/>
    <mergeCell ref="B6:C6"/>
    <mergeCell ref="D6:D7"/>
    <mergeCell ref="E6:E7"/>
    <mergeCell ref="F6:H6"/>
    <mergeCell ref="I6:M6"/>
    <mergeCell ref="N6:O7"/>
    <mergeCell ref="P6:P7"/>
    <mergeCell ref="B7:C7"/>
    <mergeCell ref="A142:D142"/>
    <mergeCell ref="O23:O27"/>
    <mergeCell ref="A135:D135"/>
    <mergeCell ref="A136:D136"/>
    <mergeCell ref="A137:D137"/>
    <mergeCell ref="A138:D138"/>
    <mergeCell ref="A141:D141"/>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P142"/>
  <sheetViews>
    <sheetView view="pageBreakPreview" topLeftCell="A78" zoomScale="96" zoomScaleNormal="100" zoomScaleSheetLayoutView="96" workbookViewId="0">
      <selection activeCell="O126" sqref="O126"/>
    </sheetView>
  </sheetViews>
  <sheetFormatPr defaultColWidth="9.1796875" defaultRowHeight="14" x14ac:dyDescent="0.3"/>
  <cols>
    <col min="1" max="1" width="9" style="1" customWidth="1"/>
    <col min="2" max="2" width="2.1796875" style="1" customWidth="1"/>
    <col min="3" max="3" width="19" style="1" customWidth="1"/>
    <col min="4" max="4" width="11.54296875" style="1" customWidth="1"/>
    <col min="5" max="5" width="27" style="1" customWidth="1"/>
    <col min="6" max="6" width="9" style="1" bestFit="1" customWidth="1"/>
    <col min="7" max="7" width="8.81640625" style="1" customWidth="1"/>
    <col min="8" max="8" width="9" style="1" customWidth="1"/>
    <col min="9" max="9" width="6.453125" style="1" bestFit="1" customWidth="1"/>
    <col min="10" max="10" width="6.81640625" style="1" bestFit="1" customWidth="1"/>
    <col min="11" max="11" width="8.26953125" style="1" customWidth="1"/>
    <col min="12" max="12" width="5.54296875" style="1" bestFit="1" customWidth="1"/>
    <col min="13" max="13" width="6.81640625" style="1" bestFit="1" customWidth="1"/>
    <col min="14" max="14" width="2.1796875" style="1" customWidth="1"/>
    <col min="15" max="15" width="27.81640625" style="1" customWidth="1"/>
    <col min="16" max="16" width="10.26953125" style="1" customWidth="1"/>
    <col min="17" max="16384" width="9.1796875" style="1"/>
  </cols>
  <sheetData>
    <row r="1" spans="1:16" x14ac:dyDescent="0.3">
      <c r="A1" s="385" t="s">
        <v>177</v>
      </c>
      <c r="B1" s="385"/>
      <c r="C1" s="385"/>
      <c r="D1" s="385"/>
      <c r="E1" s="385"/>
      <c r="F1" s="385"/>
      <c r="G1" s="385"/>
      <c r="H1" s="385"/>
      <c r="I1" s="385"/>
      <c r="J1" s="385"/>
      <c r="K1" s="385"/>
      <c r="L1" s="385"/>
      <c r="M1" s="385"/>
      <c r="N1" s="385"/>
      <c r="O1" s="385"/>
      <c r="P1" s="385"/>
    </row>
    <row r="2" spans="1:16" ht="14.25" customHeight="1" x14ac:dyDescent="0.3"/>
    <row r="3" spans="1:16" ht="14.25" customHeight="1" x14ac:dyDescent="0.3">
      <c r="A3" s="1" t="s">
        <v>1</v>
      </c>
      <c r="B3" s="1" t="s">
        <v>78</v>
      </c>
      <c r="C3" s="1" t="s">
        <v>77</v>
      </c>
    </row>
    <row r="4" spans="1:16" ht="14.25" customHeight="1" x14ac:dyDescent="0.3">
      <c r="A4" s="1" t="s">
        <v>2</v>
      </c>
      <c r="B4" s="1" t="s">
        <v>78</v>
      </c>
      <c r="C4" s="4" t="s">
        <v>237</v>
      </c>
    </row>
    <row r="6" spans="1:16" x14ac:dyDescent="0.3">
      <c r="A6" s="386" t="s">
        <v>3</v>
      </c>
      <c r="B6" s="388" t="s">
        <v>4</v>
      </c>
      <c r="C6" s="388"/>
      <c r="D6" s="389" t="s">
        <v>6</v>
      </c>
      <c r="E6" s="391" t="s">
        <v>7</v>
      </c>
      <c r="F6" s="393" t="s">
        <v>170</v>
      </c>
      <c r="G6" s="393"/>
      <c r="H6" s="393"/>
      <c r="I6" s="393" t="s">
        <v>12</v>
      </c>
      <c r="J6" s="393"/>
      <c r="K6" s="393"/>
      <c r="L6" s="393"/>
      <c r="M6" s="393"/>
      <c r="N6" s="391" t="s">
        <v>17</v>
      </c>
      <c r="O6" s="391"/>
      <c r="P6" s="386" t="s">
        <v>192</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ht="18.75" customHeight="1" x14ac:dyDescent="0.3">
      <c r="A9" s="13">
        <v>1</v>
      </c>
      <c r="B9" s="14" t="s">
        <v>20</v>
      </c>
      <c r="C9" s="15"/>
      <c r="D9" s="16"/>
      <c r="E9" s="47"/>
      <c r="F9" s="16"/>
      <c r="G9" s="16"/>
      <c r="H9" s="16"/>
      <c r="I9" s="16"/>
      <c r="J9" s="16"/>
      <c r="K9" s="16"/>
      <c r="L9" s="16"/>
      <c r="M9" s="16"/>
      <c r="N9" s="35"/>
      <c r="O9" s="36"/>
      <c r="P9" s="16"/>
    </row>
    <row r="10" spans="1:16" ht="18.75" customHeight="1" x14ac:dyDescent="0.3">
      <c r="A10" s="13"/>
      <c r="B10" s="17" t="s">
        <v>57</v>
      </c>
      <c r="C10" s="15" t="s">
        <v>21</v>
      </c>
      <c r="D10" s="18">
        <v>409.08</v>
      </c>
      <c r="E10" s="47" t="s">
        <v>36</v>
      </c>
      <c r="F10" s="26">
        <f>9%*D10</f>
        <v>36.8172</v>
      </c>
      <c r="G10" s="26">
        <f>4%*D10</f>
        <v>16.363199999999999</v>
      </c>
      <c r="H10" s="26">
        <f>SUM(F10:G10)</f>
        <v>53.180399999999999</v>
      </c>
      <c r="I10" s="19">
        <v>0</v>
      </c>
      <c r="J10" s="19"/>
      <c r="K10" s="19">
        <v>3</v>
      </c>
      <c r="L10" s="19"/>
      <c r="M10" s="20">
        <f>SUM(I10:L10)</f>
        <v>3</v>
      </c>
      <c r="N10" s="37"/>
      <c r="O10" s="36"/>
      <c r="P10" s="16"/>
    </row>
    <row r="11" spans="1:16" ht="18.75" customHeight="1" x14ac:dyDescent="0.3">
      <c r="A11" s="13"/>
      <c r="B11" s="14"/>
      <c r="C11" s="15"/>
      <c r="D11" s="18"/>
      <c r="E11" s="47" t="s">
        <v>37</v>
      </c>
      <c r="F11" s="26">
        <f>10%*D10</f>
        <v>40.908000000000001</v>
      </c>
      <c r="G11" s="26">
        <f>10%*D10</f>
        <v>40.908000000000001</v>
      </c>
      <c r="H11" s="26">
        <f>SUM(F11:G11)</f>
        <v>81.816000000000003</v>
      </c>
      <c r="I11" s="19">
        <v>0</v>
      </c>
      <c r="J11" s="19">
        <v>0</v>
      </c>
      <c r="K11" s="19">
        <v>3</v>
      </c>
      <c r="L11" s="19">
        <v>0</v>
      </c>
      <c r="M11" s="20">
        <f t="shared" ref="M11:M20" si="0">SUM(I11:L11)</f>
        <v>3</v>
      </c>
      <c r="N11" s="37" t="s">
        <v>51</v>
      </c>
      <c r="O11" s="38" t="s">
        <v>50</v>
      </c>
      <c r="P11" s="16"/>
    </row>
    <row r="12" spans="1:16" ht="18.75" customHeight="1" x14ac:dyDescent="0.3">
      <c r="A12" s="13"/>
      <c r="B12" s="14"/>
      <c r="C12" s="15"/>
      <c r="D12" s="18"/>
      <c r="E12" s="47" t="s">
        <v>38</v>
      </c>
      <c r="F12" s="26">
        <f>10%*D10</f>
        <v>40.908000000000001</v>
      </c>
      <c r="G12" s="26">
        <f>10%*D10</f>
        <v>40.908000000000001</v>
      </c>
      <c r="H12" s="26">
        <f>SUM(F12:G12)</f>
        <v>81.816000000000003</v>
      </c>
      <c r="I12" s="19">
        <v>0</v>
      </c>
      <c r="J12" s="19"/>
      <c r="K12" s="19">
        <v>3</v>
      </c>
      <c r="L12" s="19">
        <v>0</v>
      </c>
      <c r="M12" s="20">
        <f t="shared" si="0"/>
        <v>3</v>
      </c>
      <c r="N12" s="37" t="s">
        <v>51</v>
      </c>
      <c r="O12" s="36" t="s">
        <v>49</v>
      </c>
      <c r="P12" s="16"/>
    </row>
    <row r="13" spans="1:16" ht="28.5" customHeight="1" x14ac:dyDescent="0.3">
      <c r="A13" s="13"/>
      <c r="B13" s="14"/>
      <c r="C13" s="15"/>
      <c r="D13" s="18"/>
      <c r="E13" s="48" t="s">
        <v>39</v>
      </c>
      <c r="F13" s="26">
        <f>45%*D10</f>
        <v>184.08599999999998</v>
      </c>
      <c r="G13" s="26">
        <f>7%*D10</f>
        <v>28.6356</v>
      </c>
      <c r="H13" s="26">
        <f>SUM(F13:G13)</f>
        <v>212.7216</v>
      </c>
      <c r="I13" s="22">
        <v>0</v>
      </c>
      <c r="J13" s="22">
        <v>0</v>
      </c>
      <c r="K13" s="22">
        <v>0</v>
      </c>
      <c r="L13" s="22">
        <v>0</v>
      </c>
      <c r="M13" s="23">
        <f t="shared" si="0"/>
        <v>0</v>
      </c>
      <c r="N13" s="39" t="s">
        <v>51</v>
      </c>
      <c r="O13" s="40" t="s">
        <v>48</v>
      </c>
      <c r="P13" s="16"/>
    </row>
    <row r="14" spans="1:16" ht="18.75" customHeight="1" x14ac:dyDescent="0.3">
      <c r="A14" s="13"/>
      <c r="B14" s="17" t="s">
        <v>58</v>
      </c>
      <c r="C14" s="15" t="s">
        <v>22</v>
      </c>
      <c r="D14" s="18">
        <v>728.56</v>
      </c>
      <c r="E14" s="47" t="s">
        <v>36</v>
      </c>
      <c r="F14" s="26">
        <f>5%*D14</f>
        <v>36.427999999999997</v>
      </c>
      <c r="G14" s="26">
        <f>5%*D14</f>
        <v>36.427999999999997</v>
      </c>
      <c r="H14" s="26">
        <f>SUM(F14:G14)</f>
        <v>72.855999999999995</v>
      </c>
      <c r="I14" s="19">
        <v>0</v>
      </c>
      <c r="J14" s="19">
        <v>5</v>
      </c>
      <c r="K14" s="19">
        <v>2</v>
      </c>
      <c r="L14" s="19">
        <v>0</v>
      </c>
      <c r="M14" s="20">
        <f t="shared" si="0"/>
        <v>7</v>
      </c>
      <c r="N14" s="35"/>
      <c r="O14" s="41"/>
      <c r="P14" s="16"/>
    </row>
    <row r="15" spans="1:16" ht="18.75" customHeight="1" x14ac:dyDescent="0.3">
      <c r="A15" s="13"/>
      <c r="B15" s="14"/>
      <c r="C15" s="15"/>
      <c r="D15" s="26"/>
      <c r="E15" s="47" t="s">
        <v>37</v>
      </c>
      <c r="F15" s="26">
        <f>4%*D14</f>
        <v>29.142399999999999</v>
      </c>
      <c r="G15" s="26">
        <f>7%*D14</f>
        <v>50.999200000000002</v>
      </c>
      <c r="H15" s="26">
        <f t="shared" ref="H15:H17" si="1">SUM(F15:G15)</f>
        <v>80.141599999999997</v>
      </c>
      <c r="I15" s="19">
        <v>0</v>
      </c>
      <c r="J15" s="19">
        <v>5</v>
      </c>
      <c r="K15" s="19">
        <v>2</v>
      </c>
      <c r="L15" s="19">
        <v>0</v>
      </c>
      <c r="M15" s="20">
        <f t="shared" si="0"/>
        <v>7</v>
      </c>
      <c r="N15" s="35"/>
      <c r="O15" s="36"/>
      <c r="P15" s="16"/>
    </row>
    <row r="16" spans="1:16" ht="18.75" customHeight="1" x14ac:dyDescent="0.3">
      <c r="A16" s="13"/>
      <c r="B16" s="14"/>
      <c r="C16" s="15"/>
      <c r="D16" s="26"/>
      <c r="E16" s="47" t="s">
        <v>38</v>
      </c>
      <c r="F16" s="26">
        <f>3%*D14</f>
        <v>21.856799999999996</v>
      </c>
      <c r="G16" s="26">
        <f>9%*D14</f>
        <v>65.570399999999992</v>
      </c>
      <c r="H16" s="26">
        <f t="shared" si="1"/>
        <v>87.427199999999985</v>
      </c>
      <c r="I16" s="19">
        <v>0</v>
      </c>
      <c r="J16" s="19">
        <v>0</v>
      </c>
      <c r="K16" s="19">
        <v>2</v>
      </c>
      <c r="L16" s="19">
        <v>0</v>
      </c>
      <c r="M16" s="20">
        <f t="shared" si="0"/>
        <v>2</v>
      </c>
      <c r="N16" s="35"/>
      <c r="O16" s="36"/>
      <c r="P16" s="16"/>
    </row>
    <row r="17" spans="1:16" ht="29.25" customHeight="1" x14ac:dyDescent="0.3">
      <c r="A17" s="54"/>
      <c r="B17" s="55"/>
      <c r="C17" s="56"/>
      <c r="D17" s="57"/>
      <c r="E17" s="58" t="s">
        <v>39</v>
      </c>
      <c r="F17" s="119">
        <f>5%*D14</f>
        <v>36.427999999999997</v>
      </c>
      <c r="G17" s="119">
        <f>5%*D14</f>
        <v>36.427999999999997</v>
      </c>
      <c r="H17" s="119">
        <f t="shared" si="1"/>
        <v>72.855999999999995</v>
      </c>
      <c r="I17" s="59">
        <v>0</v>
      </c>
      <c r="J17" s="59">
        <v>0</v>
      </c>
      <c r="K17" s="59">
        <v>0</v>
      </c>
      <c r="L17" s="59">
        <v>0</v>
      </c>
      <c r="M17" s="60">
        <f t="shared" si="0"/>
        <v>0</v>
      </c>
      <c r="N17" s="61"/>
      <c r="O17" s="62"/>
      <c r="P17" s="88"/>
    </row>
    <row r="18" spans="1:16" ht="18.75" customHeight="1" x14ac:dyDescent="0.3">
      <c r="A18" s="13"/>
      <c r="B18" s="17" t="s">
        <v>58</v>
      </c>
      <c r="C18" s="15" t="s">
        <v>27</v>
      </c>
      <c r="D18" s="18">
        <v>88.7</v>
      </c>
      <c r="E18" s="47" t="s">
        <v>36</v>
      </c>
      <c r="F18" s="26">
        <f>7%*D18</f>
        <v>6.2090000000000005</v>
      </c>
      <c r="G18" s="26">
        <f>7%*D18</f>
        <v>6.2090000000000005</v>
      </c>
      <c r="H18" s="26">
        <f>SUM(F18:G18)</f>
        <v>12.418000000000001</v>
      </c>
      <c r="I18" s="19">
        <v>0</v>
      </c>
      <c r="J18" s="19">
        <f>2%*D18</f>
        <v>1.774</v>
      </c>
      <c r="K18" s="19"/>
      <c r="L18" s="19">
        <v>0</v>
      </c>
      <c r="M18" s="20">
        <f t="shared" si="0"/>
        <v>1.774</v>
      </c>
      <c r="N18" s="35"/>
      <c r="O18" s="41"/>
      <c r="P18" s="144"/>
    </row>
    <row r="19" spans="1:16" ht="18.75" customHeight="1" x14ac:dyDescent="0.3">
      <c r="A19" s="13"/>
      <c r="B19" s="14"/>
      <c r="C19" s="15"/>
      <c r="D19" s="26"/>
      <c r="E19" s="47" t="s">
        <v>37</v>
      </c>
      <c r="F19" s="26">
        <f>4%*D18</f>
        <v>3.548</v>
      </c>
      <c r="G19" s="26">
        <f>8%*D18</f>
        <v>7.0960000000000001</v>
      </c>
      <c r="H19" s="26">
        <f t="shared" ref="H19:H20" si="2">SUM(F19:G19)</f>
        <v>10.644</v>
      </c>
      <c r="I19" s="19">
        <v>0</v>
      </c>
      <c r="J19" s="19">
        <f>5%*D18</f>
        <v>4.4350000000000005</v>
      </c>
      <c r="K19" s="19"/>
      <c r="L19" s="19">
        <v>0</v>
      </c>
      <c r="M19" s="20">
        <f t="shared" si="0"/>
        <v>4.4350000000000005</v>
      </c>
      <c r="N19" s="35"/>
      <c r="O19" s="36"/>
      <c r="P19" s="144"/>
    </row>
    <row r="20" spans="1:16" ht="18.75" customHeight="1" x14ac:dyDescent="0.3">
      <c r="A20" s="13"/>
      <c r="B20" s="14"/>
      <c r="C20" s="15"/>
      <c r="D20" s="26"/>
      <c r="E20" s="47" t="s">
        <v>38</v>
      </c>
      <c r="F20" s="26">
        <f>5%*D18</f>
        <v>4.4350000000000005</v>
      </c>
      <c r="G20" s="26">
        <f>9%*D18</f>
        <v>7.9829999999999997</v>
      </c>
      <c r="H20" s="26">
        <f t="shared" si="2"/>
        <v>12.417999999999999</v>
      </c>
      <c r="I20" s="19">
        <v>0</v>
      </c>
      <c r="J20" s="19">
        <f>2%*D18</f>
        <v>1.774</v>
      </c>
      <c r="K20" s="19"/>
      <c r="L20" s="19">
        <v>0</v>
      </c>
      <c r="M20" s="20">
        <f t="shared" si="0"/>
        <v>1.774</v>
      </c>
      <c r="N20" s="35"/>
      <c r="O20" s="36"/>
      <c r="P20" s="144"/>
    </row>
    <row r="21" spans="1:16" ht="18.75" customHeight="1" x14ac:dyDescent="0.3">
      <c r="A21" s="89"/>
      <c r="B21" s="71"/>
      <c r="C21" s="72"/>
      <c r="D21" s="73">
        <f>SUM(D9:D17)</f>
        <v>1137.6399999999999</v>
      </c>
      <c r="E21" s="74"/>
      <c r="F21" s="118">
        <f>SUM(F9:F17)</f>
        <v>426.57440000000003</v>
      </c>
      <c r="G21" s="118">
        <f>SUM(G9:G17)</f>
        <v>316.24039999999997</v>
      </c>
      <c r="H21" s="118">
        <f>SUM(H9:H17)</f>
        <v>742.81479999999999</v>
      </c>
      <c r="I21" s="75">
        <f>SUM(I9:I17)</f>
        <v>0</v>
      </c>
      <c r="J21" s="75">
        <f>SUM(J9:J17)</f>
        <v>10</v>
      </c>
      <c r="K21" s="75">
        <f>SUM(K8:K17)</f>
        <v>15</v>
      </c>
      <c r="L21" s="75"/>
      <c r="M21" s="75">
        <f>SUM(M9:M17)</f>
        <v>25</v>
      </c>
      <c r="N21" s="76"/>
      <c r="O21" s="77"/>
      <c r="P21" s="75"/>
    </row>
    <row r="22" spans="1:16" ht="18.75" customHeight="1" x14ac:dyDescent="0.3">
      <c r="A22" s="63">
        <v>2</v>
      </c>
      <c r="B22" s="64" t="s">
        <v>23</v>
      </c>
      <c r="C22" s="65"/>
      <c r="D22" s="66"/>
      <c r="E22" s="67"/>
      <c r="F22" s="68"/>
      <c r="G22" s="68"/>
      <c r="H22" s="68"/>
      <c r="I22" s="68"/>
      <c r="J22" s="68"/>
      <c r="K22" s="68"/>
      <c r="L22" s="68"/>
      <c r="M22" s="68"/>
      <c r="N22" s="69"/>
      <c r="O22" s="70"/>
      <c r="P22" s="68"/>
    </row>
    <row r="23" spans="1:16" ht="18.75" customHeight="1" x14ac:dyDescent="0.3">
      <c r="A23" s="13"/>
      <c r="B23" s="14" t="s">
        <v>57</v>
      </c>
      <c r="C23" s="15" t="s">
        <v>22</v>
      </c>
      <c r="D23" s="26">
        <v>198</v>
      </c>
      <c r="E23" s="47" t="s">
        <v>40</v>
      </c>
      <c r="F23" s="19">
        <v>0</v>
      </c>
      <c r="G23" s="19">
        <f>20%*D23</f>
        <v>39.6</v>
      </c>
      <c r="H23" s="19">
        <f t="shared" ref="H23" si="3">SUM(F23:G23)</f>
        <v>39.6</v>
      </c>
      <c r="I23" s="19">
        <v>0</v>
      </c>
      <c r="J23" s="19">
        <v>10</v>
      </c>
      <c r="K23" s="19">
        <v>5</v>
      </c>
      <c r="L23" s="19">
        <v>0</v>
      </c>
      <c r="M23" s="20">
        <f t="shared" ref="M23" si="4">SUM(I23:L23)</f>
        <v>15</v>
      </c>
      <c r="N23" s="37" t="s">
        <v>51</v>
      </c>
      <c r="O23" s="399" t="s">
        <v>228</v>
      </c>
      <c r="P23" s="16"/>
    </row>
    <row r="24" spans="1:16" ht="18.75" customHeight="1" x14ac:dyDescent="0.3">
      <c r="A24" s="54"/>
      <c r="B24" s="55"/>
      <c r="C24" s="56"/>
      <c r="D24" s="57"/>
      <c r="E24" s="85"/>
      <c r="F24" s="79"/>
      <c r="G24" s="79"/>
      <c r="H24" s="79"/>
      <c r="I24" s="79"/>
      <c r="J24" s="79"/>
      <c r="K24" s="79"/>
      <c r="L24" s="79"/>
      <c r="M24" s="86"/>
      <c r="N24" s="95"/>
      <c r="O24" s="401"/>
      <c r="P24" s="87"/>
    </row>
    <row r="25" spans="1:16" ht="18.75" customHeight="1" x14ac:dyDescent="0.3">
      <c r="A25" s="54"/>
      <c r="B25" s="55" t="s">
        <v>58</v>
      </c>
      <c r="C25" s="56" t="s">
        <v>42</v>
      </c>
      <c r="D25" s="57">
        <v>55</v>
      </c>
      <c r="E25" s="47" t="s">
        <v>40</v>
      </c>
      <c r="F25" s="19">
        <v>0</v>
      </c>
      <c r="G25" s="19">
        <f>15%*D25</f>
        <v>8.25</v>
      </c>
      <c r="H25" s="19">
        <f t="shared" ref="H25" si="5">SUM(F25:G25)</f>
        <v>8.25</v>
      </c>
      <c r="I25" s="19">
        <v>0</v>
      </c>
      <c r="J25" s="19">
        <v>2</v>
      </c>
      <c r="K25" s="19">
        <v>5</v>
      </c>
      <c r="L25" s="19">
        <v>0</v>
      </c>
      <c r="M25" s="20">
        <f t="shared" ref="M25" si="6">SUM(I25:L25)</f>
        <v>7</v>
      </c>
      <c r="N25" s="95"/>
      <c r="O25" s="401"/>
      <c r="P25" s="87"/>
    </row>
    <row r="26" spans="1:16" ht="18.75" customHeight="1" x14ac:dyDescent="0.3">
      <c r="A26" s="54"/>
      <c r="B26" s="55"/>
      <c r="C26" s="56"/>
      <c r="D26" s="57"/>
      <c r="E26" s="85"/>
      <c r="F26" s="79"/>
      <c r="G26" s="79"/>
      <c r="H26" s="79"/>
      <c r="I26" s="79"/>
      <c r="J26" s="79"/>
      <c r="K26" s="79"/>
      <c r="L26" s="79"/>
      <c r="M26" s="86"/>
      <c r="N26" s="95"/>
      <c r="O26" s="401"/>
      <c r="P26" s="87"/>
    </row>
    <row r="27" spans="1:16" ht="18.75" customHeight="1" x14ac:dyDescent="0.3">
      <c r="A27" s="54"/>
      <c r="B27" s="55" t="s">
        <v>59</v>
      </c>
      <c r="C27" s="56" t="s">
        <v>21</v>
      </c>
      <c r="D27" s="57">
        <v>66.94</v>
      </c>
      <c r="E27" s="47" t="s">
        <v>40</v>
      </c>
      <c r="F27" s="19">
        <v>0</v>
      </c>
      <c r="G27" s="19">
        <f>15%*D27</f>
        <v>10.040999999999999</v>
      </c>
      <c r="H27" s="19">
        <f t="shared" ref="H27" si="7">SUM(F27:G27)</f>
        <v>10.040999999999999</v>
      </c>
      <c r="I27" s="19">
        <v>0</v>
      </c>
      <c r="J27" s="19">
        <v>2</v>
      </c>
      <c r="K27" s="19">
        <v>5</v>
      </c>
      <c r="L27" s="19">
        <v>0</v>
      </c>
      <c r="M27" s="20">
        <f t="shared" ref="M27" si="8">SUM(I27:L27)</f>
        <v>7</v>
      </c>
      <c r="N27" s="95"/>
      <c r="O27" s="401"/>
      <c r="P27" s="87"/>
    </row>
    <row r="28" spans="1:16" ht="18.75" customHeight="1" x14ac:dyDescent="0.3">
      <c r="A28" s="89"/>
      <c r="B28" s="71"/>
      <c r="C28" s="72"/>
      <c r="D28" s="73">
        <f>SUM(D22:D27)</f>
        <v>319.94</v>
      </c>
      <c r="E28" s="74"/>
      <c r="F28" s="83">
        <f t="shared" ref="F28:K28" si="9">SUM(F22:F27)</f>
        <v>0</v>
      </c>
      <c r="G28" s="83">
        <f t="shared" si="9"/>
        <v>57.890999999999998</v>
      </c>
      <c r="H28" s="83">
        <f t="shared" si="9"/>
        <v>57.890999999999998</v>
      </c>
      <c r="I28" s="83">
        <f t="shared" si="9"/>
        <v>0</v>
      </c>
      <c r="J28" s="83">
        <f t="shared" si="9"/>
        <v>14</v>
      </c>
      <c r="K28" s="83">
        <f t="shared" si="9"/>
        <v>15</v>
      </c>
      <c r="L28" s="83"/>
      <c r="M28" s="83">
        <f>SUM(M22:M27)</f>
        <v>29</v>
      </c>
      <c r="N28" s="76"/>
      <c r="O28" s="77"/>
      <c r="P28" s="75"/>
    </row>
    <row r="29" spans="1:16" ht="18.75" customHeight="1" x14ac:dyDescent="0.3">
      <c r="A29" s="63">
        <v>3</v>
      </c>
      <c r="B29" s="64" t="s">
        <v>19</v>
      </c>
      <c r="C29" s="65"/>
      <c r="D29" s="66"/>
      <c r="E29" s="67"/>
      <c r="F29" s="82"/>
      <c r="G29" s="82"/>
      <c r="H29" s="82"/>
      <c r="I29" s="82"/>
      <c r="J29" s="82"/>
      <c r="K29" s="82"/>
      <c r="L29" s="82"/>
      <c r="M29" s="82"/>
      <c r="N29" s="69"/>
      <c r="O29" s="70"/>
      <c r="P29" s="68"/>
    </row>
    <row r="30" spans="1:16" ht="18.75" customHeight="1" x14ac:dyDescent="0.3">
      <c r="A30" s="13"/>
      <c r="B30" s="14" t="s">
        <v>57</v>
      </c>
      <c r="C30" s="15" t="s">
        <v>24</v>
      </c>
      <c r="D30" s="26">
        <f>1372.4+494</f>
        <v>1866.4</v>
      </c>
      <c r="E30" s="50" t="s">
        <v>52</v>
      </c>
      <c r="F30" s="19">
        <v>0</v>
      </c>
      <c r="G30" s="26">
        <f>35%*D30</f>
        <v>653.24</v>
      </c>
      <c r="H30" s="26">
        <f>SUM(F30:G30)</f>
        <v>653.24</v>
      </c>
      <c r="I30" s="19">
        <v>0</v>
      </c>
      <c r="J30" s="19">
        <v>10</v>
      </c>
      <c r="K30" s="19">
        <v>2</v>
      </c>
      <c r="L30" s="19">
        <v>0</v>
      </c>
      <c r="M30" s="19">
        <f>SUM(I30:L30)</f>
        <v>12</v>
      </c>
      <c r="N30" s="35"/>
      <c r="O30" s="43" t="s">
        <v>148</v>
      </c>
      <c r="P30" s="16"/>
    </row>
    <row r="31" spans="1:16" ht="18.75" customHeight="1" x14ac:dyDescent="0.3">
      <c r="A31" s="13"/>
      <c r="B31" s="14"/>
      <c r="C31" s="15"/>
      <c r="D31" s="26"/>
      <c r="E31" s="47" t="s">
        <v>223</v>
      </c>
      <c r="F31" s="26">
        <f>35%*D30</f>
        <v>653.24</v>
      </c>
      <c r="G31" s="26"/>
      <c r="H31" s="26">
        <f>SUM(F31:G31)</f>
        <v>653.24</v>
      </c>
      <c r="I31" s="19"/>
      <c r="J31" s="19"/>
      <c r="K31" s="19">
        <v>6</v>
      </c>
      <c r="L31" s="19"/>
      <c r="M31" s="19">
        <f>SUM(I31:L31)</f>
        <v>6</v>
      </c>
      <c r="N31" s="35"/>
      <c r="O31" s="43" t="s">
        <v>149</v>
      </c>
      <c r="P31" s="16"/>
    </row>
    <row r="32" spans="1:16" ht="18.75" customHeight="1" x14ac:dyDescent="0.3">
      <c r="A32" s="13"/>
      <c r="B32" s="14"/>
      <c r="C32" s="15"/>
      <c r="D32" s="26"/>
      <c r="E32" s="47" t="s">
        <v>235</v>
      </c>
      <c r="F32" s="26">
        <f>26%*D31</f>
        <v>0</v>
      </c>
      <c r="G32" s="26">
        <f>15%*D30</f>
        <v>279.95999999999998</v>
      </c>
      <c r="H32" s="26">
        <f>SUM(F32:G32)</f>
        <v>279.95999999999998</v>
      </c>
      <c r="I32" s="19"/>
      <c r="J32" s="19"/>
      <c r="K32" s="19">
        <v>5</v>
      </c>
      <c r="L32" s="19"/>
      <c r="M32" s="19">
        <f>SUM(I32:L32)</f>
        <v>5</v>
      </c>
      <c r="N32" s="35"/>
      <c r="O32" s="43"/>
      <c r="P32" s="16"/>
    </row>
    <row r="33" spans="1:16" ht="18.75" customHeight="1" x14ac:dyDescent="0.3">
      <c r="A33" s="13"/>
      <c r="B33" s="14"/>
      <c r="C33" s="15"/>
      <c r="D33" s="26"/>
      <c r="E33" s="47" t="s">
        <v>234</v>
      </c>
      <c r="F33" s="26"/>
      <c r="G33" s="26">
        <f>25%*D30</f>
        <v>466.6</v>
      </c>
      <c r="H33" s="26">
        <f>F33+G33</f>
        <v>466.6</v>
      </c>
      <c r="I33" s="19"/>
      <c r="J33" s="19"/>
      <c r="K33" s="19"/>
      <c r="L33" s="19"/>
      <c r="M33" s="19"/>
      <c r="N33" s="35"/>
      <c r="O33" s="43"/>
      <c r="P33" s="16"/>
    </row>
    <row r="34" spans="1:16" ht="18.75" customHeight="1" x14ac:dyDescent="0.3">
      <c r="A34" s="13"/>
      <c r="B34" s="14" t="s">
        <v>58</v>
      </c>
      <c r="C34" s="15" t="s">
        <v>25</v>
      </c>
      <c r="D34" s="26">
        <f>994.7+363.2</f>
        <v>1357.9</v>
      </c>
      <c r="E34" s="50" t="s">
        <v>52</v>
      </c>
      <c r="F34" s="19">
        <v>0</v>
      </c>
      <c r="G34" s="26">
        <f>25%*D34</f>
        <v>339.47500000000002</v>
      </c>
      <c r="H34" s="26">
        <f t="shared" ref="H34:H88" si="10">SUM(F34:G34)</f>
        <v>339.47500000000002</v>
      </c>
      <c r="I34" s="19">
        <v>0</v>
      </c>
      <c r="J34" s="19">
        <v>5</v>
      </c>
      <c r="K34" s="19">
        <v>1</v>
      </c>
      <c r="L34" s="19">
        <v>0</v>
      </c>
      <c r="M34" s="19">
        <f t="shared" ref="M34:M89" si="11">SUM(I34:L34)</f>
        <v>6</v>
      </c>
      <c r="N34" s="35"/>
      <c r="O34" s="43" t="s">
        <v>226</v>
      </c>
      <c r="P34" s="16"/>
    </row>
    <row r="35" spans="1:16" ht="18.75" customHeight="1" x14ac:dyDescent="0.3">
      <c r="A35" s="13"/>
      <c r="B35" s="14"/>
      <c r="C35" s="15"/>
      <c r="D35" s="26"/>
      <c r="E35" s="47" t="s">
        <v>223</v>
      </c>
      <c r="F35" s="26">
        <f>24%*D34</f>
        <v>325.89600000000002</v>
      </c>
      <c r="G35" s="26"/>
      <c r="H35" s="26">
        <f>SUM(F35:G35)</f>
        <v>325.89600000000002</v>
      </c>
      <c r="I35" s="19"/>
      <c r="J35" s="19"/>
      <c r="K35" s="19">
        <v>4</v>
      </c>
      <c r="L35" s="19"/>
      <c r="M35" s="19">
        <f>SUM(I35:L35)</f>
        <v>4</v>
      </c>
      <c r="N35" s="35"/>
      <c r="O35" s="43"/>
      <c r="P35" s="16"/>
    </row>
    <row r="36" spans="1:16" ht="18.75" customHeight="1" x14ac:dyDescent="0.3">
      <c r="A36" s="13"/>
      <c r="B36" s="14"/>
      <c r="C36" s="15"/>
      <c r="D36" s="26"/>
      <c r="E36" s="47" t="s">
        <v>235</v>
      </c>
      <c r="F36" s="26">
        <f>26%*D35</f>
        <v>0</v>
      </c>
      <c r="G36" s="26">
        <f>15%*D34</f>
        <v>203.685</v>
      </c>
      <c r="H36" s="26">
        <f>SUM(F36:G36)</f>
        <v>203.685</v>
      </c>
      <c r="I36" s="19"/>
      <c r="J36" s="19"/>
      <c r="K36" s="19">
        <v>2</v>
      </c>
      <c r="L36" s="19"/>
      <c r="M36" s="19">
        <f>SUM(I36:L36)</f>
        <v>2</v>
      </c>
      <c r="N36" s="35"/>
      <c r="O36" s="43"/>
      <c r="P36" s="16"/>
    </row>
    <row r="37" spans="1:16" ht="18.75" customHeight="1" x14ac:dyDescent="0.3">
      <c r="A37" s="13"/>
      <c r="B37" s="14"/>
      <c r="C37" s="15"/>
      <c r="D37" s="26"/>
      <c r="E37" s="47" t="s">
        <v>234</v>
      </c>
      <c r="F37" s="26"/>
      <c r="G37" s="26">
        <f>25%*D34</f>
        <v>339.47500000000002</v>
      </c>
      <c r="H37" s="26">
        <f>F37+G37</f>
        <v>339.47500000000002</v>
      </c>
      <c r="I37" s="19"/>
      <c r="J37" s="19"/>
      <c r="K37" s="19">
        <v>5</v>
      </c>
      <c r="L37" s="19"/>
      <c r="M37" s="19">
        <f>SUM(I37:L37)</f>
        <v>5</v>
      </c>
      <c r="N37" s="35"/>
      <c r="O37" s="43"/>
      <c r="P37" s="16"/>
    </row>
    <row r="38" spans="1:16" ht="18.75" customHeight="1" x14ac:dyDescent="0.3">
      <c r="A38" s="13"/>
      <c r="B38" s="14" t="s">
        <v>59</v>
      </c>
      <c r="C38" s="15" t="s">
        <v>26</v>
      </c>
      <c r="D38" s="26">
        <f>976.5+338</f>
        <v>1314.5</v>
      </c>
      <c r="E38" s="50" t="s">
        <v>52</v>
      </c>
      <c r="F38" s="19">
        <v>0</v>
      </c>
      <c r="G38" s="26">
        <f>35%*D38</f>
        <v>460.07499999999999</v>
      </c>
      <c r="H38" s="26">
        <f t="shared" si="10"/>
        <v>460.07499999999999</v>
      </c>
      <c r="I38" s="19">
        <v>0</v>
      </c>
      <c r="J38" s="19">
        <v>4</v>
      </c>
      <c r="K38" s="19">
        <v>0</v>
      </c>
      <c r="L38" s="19">
        <v>0</v>
      </c>
      <c r="M38" s="19">
        <f t="shared" si="11"/>
        <v>4</v>
      </c>
      <c r="N38" s="35"/>
      <c r="O38" s="43"/>
      <c r="P38" s="16"/>
    </row>
    <row r="39" spans="1:16" ht="18.75" customHeight="1" x14ac:dyDescent="0.3">
      <c r="A39" s="13"/>
      <c r="B39" s="14"/>
      <c r="C39" s="15"/>
      <c r="D39" s="26"/>
      <c r="E39" s="47" t="s">
        <v>223</v>
      </c>
      <c r="F39" s="26">
        <f>25%*D38</f>
        <v>328.625</v>
      </c>
      <c r="G39" s="26"/>
      <c r="H39" s="26">
        <f>SUM(F39:G39)</f>
        <v>328.625</v>
      </c>
      <c r="I39" s="19"/>
      <c r="J39" s="19"/>
      <c r="K39" s="19">
        <v>4</v>
      </c>
      <c r="L39" s="19"/>
      <c r="M39" s="19">
        <f>SUM(I39:L39)</f>
        <v>4</v>
      </c>
      <c r="N39" s="35"/>
      <c r="O39" s="43"/>
      <c r="P39" s="16"/>
    </row>
    <row r="40" spans="1:16" ht="18.75" customHeight="1" x14ac:dyDescent="0.3">
      <c r="A40" s="13"/>
      <c r="B40" s="14"/>
      <c r="C40" s="15"/>
      <c r="D40" s="26"/>
      <c r="E40" s="47" t="s">
        <v>235</v>
      </c>
      <c r="F40" s="26">
        <f>26%*D39</f>
        <v>0</v>
      </c>
      <c r="G40" s="26">
        <f>15%*D38</f>
        <v>197.17499999999998</v>
      </c>
      <c r="H40" s="26">
        <f>SUM(F40:G40)</f>
        <v>197.17499999999998</v>
      </c>
      <c r="I40" s="19"/>
      <c r="J40" s="19"/>
      <c r="K40" s="19">
        <v>4</v>
      </c>
      <c r="L40" s="19"/>
      <c r="M40" s="19">
        <f>SUM(I40:L40)</f>
        <v>4</v>
      </c>
      <c r="N40" s="35"/>
      <c r="O40" s="43"/>
      <c r="P40" s="16"/>
    </row>
    <row r="41" spans="1:16" ht="18.75" customHeight="1" x14ac:dyDescent="0.3">
      <c r="A41" s="13"/>
      <c r="B41" s="14"/>
      <c r="C41" s="15"/>
      <c r="D41" s="26"/>
      <c r="E41" s="47" t="s">
        <v>234</v>
      </c>
      <c r="F41" s="26"/>
      <c r="G41" s="26">
        <f>25%*D38</f>
        <v>328.625</v>
      </c>
      <c r="H41" s="26">
        <f>F41+G41</f>
        <v>328.625</v>
      </c>
      <c r="I41" s="19"/>
      <c r="J41" s="19"/>
      <c r="K41" s="19"/>
      <c r="L41" s="19"/>
      <c r="M41" s="19"/>
      <c r="N41" s="35"/>
      <c r="O41" s="43"/>
      <c r="P41" s="16"/>
    </row>
    <row r="42" spans="1:16" ht="18.75" customHeight="1" x14ac:dyDescent="0.3">
      <c r="A42" s="13"/>
      <c r="B42" s="14" t="s">
        <v>60</v>
      </c>
      <c r="C42" s="15" t="s">
        <v>55</v>
      </c>
      <c r="D42" s="26">
        <f>291.6+46.93</f>
        <v>338.53000000000003</v>
      </c>
      <c r="E42" s="50" t="s">
        <v>52</v>
      </c>
      <c r="F42" s="19">
        <v>0</v>
      </c>
      <c r="G42" s="26">
        <f>35%*D42</f>
        <v>118.4855</v>
      </c>
      <c r="H42" s="26">
        <f t="shared" si="10"/>
        <v>118.4855</v>
      </c>
      <c r="I42" s="19">
        <v>0</v>
      </c>
      <c r="J42" s="19">
        <v>0</v>
      </c>
      <c r="K42" s="19">
        <v>0</v>
      </c>
      <c r="L42" s="19">
        <v>0</v>
      </c>
      <c r="M42" s="19">
        <f t="shared" si="11"/>
        <v>0</v>
      </c>
      <c r="N42" s="35"/>
      <c r="O42" s="43" t="s">
        <v>224</v>
      </c>
      <c r="P42" s="16"/>
    </row>
    <row r="43" spans="1:16" ht="18.75" customHeight="1" x14ac:dyDescent="0.3">
      <c r="A43" s="13"/>
      <c r="B43" s="14"/>
      <c r="C43" s="15"/>
      <c r="D43" s="26"/>
      <c r="E43" s="47" t="s">
        <v>223</v>
      </c>
      <c r="F43" s="26">
        <f>20%*D42</f>
        <v>67.706000000000003</v>
      </c>
      <c r="G43" s="26"/>
      <c r="H43" s="26">
        <f>SUM(F43:G43)</f>
        <v>67.706000000000003</v>
      </c>
      <c r="I43" s="19">
        <v>0</v>
      </c>
      <c r="J43" s="19">
        <v>0</v>
      </c>
      <c r="K43" s="19">
        <v>0</v>
      </c>
      <c r="L43" s="19">
        <v>0</v>
      </c>
      <c r="M43" s="19">
        <f t="shared" si="11"/>
        <v>0</v>
      </c>
      <c r="N43" s="35"/>
      <c r="O43" s="44" t="s">
        <v>225</v>
      </c>
      <c r="P43" s="16"/>
    </row>
    <row r="44" spans="1:16" ht="18.75" customHeight="1" x14ac:dyDescent="0.3">
      <c r="A44" s="13"/>
      <c r="B44" s="14"/>
      <c r="C44" s="15"/>
      <c r="D44" s="26"/>
      <c r="E44" s="47" t="s">
        <v>235</v>
      </c>
      <c r="F44" s="26">
        <f>26%*D43</f>
        <v>0</v>
      </c>
      <c r="G44" s="26">
        <f>25%*D42</f>
        <v>84.632500000000007</v>
      </c>
      <c r="H44" s="26">
        <f>SUM(F44:G44)</f>
        <v>84.632500000000007</v>
      </c>
      <c r="I44" s="19"/>
      <c r="J44" s="19"/>
      <c r="K44" s="19">
        <v>5</v>
      </c>
      <c r="L44" s="19"/>
      <c r="M44" s="19">
        <f>SUM(I44:L44)</f>
        <v>5</v>
      </c>
      <c r="N44" s="35"/>
      <c r="O44" s="44"/>
      <c r="P44" s="16"/>
    </row>
    <row r="45" spans="1:16" ht="18.75" customHeight="1" x14ac:dyDescent="0.3">
      <c r="A45" s="13"/>
      <c r="B45" s="14"/>
      <c r="C45" s="15"/>
      <c r="D45" s="26"/>
      <c r="E45" s="47" t="s">
        <v>234</v>
      </c>
      <c r="F45" s="26"/>
      <c r="G45" s="26">
        <f>25%*D42</f>
        <v>84.632500000000007</v>
      </c>
      <c r="H45" s="26">
        <f>F45+G45</f>
        <v>84.632500000000007</v>
      </c>
      <c r="I45" s="19"/>
      <c r="J45" s="19"/>
      <c r="K45" s="19"/>
      <c r="L45" s="19"/>
      <c r="M45" s="19"/>
      <c r="N45" s="35"/>
      <c r="O45" s="44"/>
      <c r="P45" s="16"/>
    </row>
    <row r="46" spans="1:16" ht="18.75" customHeight="1" x14ac:dyDescent="0.3">
      <c r="A46" s="13"/>
      <c r="B46" s="14" t="s">
        <v>61</v>
      </c>
      <c r="C46" s="15" t="s">
        <v>27</v>
      </c>
      <c r="D46" s="26">
        <f>831.5+161.25</f>
        <v>992.75</v>
      </c>
      <c r="E46" s="50" t="s">
        <v>52</v>
      </c>
      <c r="F46" s="19">
        <v>0</v>
      </c>
      <c r="G46" s="26">
        <f>25%*D46</f>
        <v>248.1875</v>
      </c>
      <c r="H46" s="26">
        <f t="shared" si="10"/>
        <v>248.1875</v>
      </c>
      <c r="I46" s="19">
        <v>0</v>
      </c>
      <c r="J46" s="19">
        <v>0</v>
      </c>
      <c r="K46" s="19">
        <v>0</v>
      </c>
      <c r="L46" s="19">
        <v>0</v>
      </c>
      <c r="M46" s="19">
        <f t="shared" si="11"/>
        <v>0</v>
      </c>
      <c r="N46" s="35"/>
      <c r="O46" s="44"/>
      <c r="P46" s="16"/>
    </row>
    <row r="47" spans="1:16" ht="18.75" customHeight="1" x14ac:dyDescent="0.3">
      <c r="A47" s="13"/>
      <c r="B47" s="14"/>
      <c r="C47" s="15"/>
      <c r="D47" s="26"/>
      <c r="E47" s="47" t="s">
        <v>223</v>
      </c>
      <c r="F47" s="26">
        <f>11%*D46</f>
        <v>109.2025</v>
      </c>
      <c r="G47" s="26"/>
      <c r="H47" s="26">
        <f>SUM(F47:G47)</f>
        <v>109.2025</v>
      </c>
      <c r="I47" s="19">
        <v>0</v>
      </c>
      <c r="J47" s="19">
        <v>0</v>
      </c>
      <c r="K47" s="19">
        <v>0</v>
      </c>
      <c r="L47" s="19">
        <v>0</v>
      </c>
      <c r="M47" s="19">
        <f t="shared" si="11"/>
        <v>0</v>
      </c>
      <c r="N47" s="35"/>
      <c r="O47" s="44"/>
      <c r="P47" s="16"/>
    </row>
    <row r="48" spans="1:16" ht="18.75" customHeight="1" x14ac:dyDescent="0.3">
      <c r="A48" s="13"/>
      <c r="B48" s="14" t="s">
        <v>62</v>
      </c>
      <c r="C48" s="15" t="s">
        <v>28</v>
      </c>
      <c r="D48" s="26">
        <f>868+618.6</f>
        <v>1486.6</v>
      </c>
      <c r="E48" s="50" t="s">
        <v>52</v>
      </c>
      <c r="F48" s="19">
        <v>0</v>
      </c>
      <c r="G48" s="26">
        <f>25%*D48</f>
        <v>371.65</v>
      </c>
      <c r="H48" s="26">
        <f t="shared" si="10"/>
        <v>371.65</v>
      </c>
      <c r="I48" s="19">
        <v>0</v>
      </c>
      <c r="J48" s="19">
        <v>0</v>
      </c>
      <c r="K48" s="19">
        <v>0</v>
      </c>
      <c r="L48" s="19">
        <v>0</v>
      </c>
      <c r="M48" s="19">
        <f t="shared" si="11"/>
        <v>0</v>
      </c>
      <c r="N48" s="35"/>
      <c r="O48" s="43" t="s">
        <v>227</v>
      </c>
      <c r="P48" s="16"/>
    </row>
    <row r="49" spans="1:16" ht="18.75" customHeight="1" x14ac:dyDescent="0.3">
      <c r="A49" s="13"/>
      <c r="B49" s="14"/>
      <c r="C49" s="15"/>
      <c r="D49" s="26"/>
      <c r="E49" s="47" t="s">
        <v>223</v>
      </c>
      <c r="F49" s="26">
        <f>15%*D48</f>
        <v>222.98999999999998</v>
      </c>
      <c r="G49" s="26"/>
      <c r="H49" s="26">
        <f>SUM(F49:G49)</f>
        <v>222.98999999999998</v>
      </c>
      <c r="I49" s="19">
        <v>0</v>
      </c>
      <c r="J49" s="19">
        <v>0</v>
      </c>
      <c r="K49" s="19">
        <v>0</v>
      </c>
      <c r="L49" s="19">
        <v>0</v>
      </c>
      <c r="M49" s="19">
        <f t="shared" si="11"/>
        <v>0</v>
      </c>
      <c r="N49" s="35"/>
      <c r="O49" s="43" t="s">
        <v>153</v>
      </c>
      <c r="P49" s="16"/>
    </row>
    <row r="50" spans="1:16" ht="18.75" customHeight="1" x14ac:dyDescent="0.3">
      <c r="A50" s="13"/>
      <c r="B50" s="14" t="s">
        <v>63</v>
      </c>
      <c r="C50" s="15" t="s">
        <v>29</v>
      </c>
      <c r="D50" s="26">
        <f>1546+278.5</f>
        <v>1824.5</v>
      </c>
      <c r="E50" s="50" t="s">
        <v>52</v>
      </c>
      <c r="F50" s="19">
        <v>0</v>
      </c>
      <c r="G50" s="26">
        <f>26%*D50</f>
        <v>474.37</v>
      </c>
      <c r="H50" s="26">
        <f t="shared" si="10"/>
        <v>474.37</v>
      </c>
      <c r="I50" s="19">
        <v>0</v>
      </c>
      <c r="J50" s="19">
        <v>0</v>
      </c>
      <c r="K50" s="19">
        <v>0</v>
      </c>
      <c r="L50" s="19">
        <v>0</v>
      </c>
      <c r="M50" s="19">
        <f t="shared" si="11"/>
        <v>0</v>
      </c>
      <c r="N50" s="35"/>
      <c r="O50" s="43" t="s">
        <v>154</v>
      </c>
      <c r="P50" s="16"/>
    </row>
    <row r="51" spans="1:16" ht="18.75" customHeight="1" x14ac:dyDescent="0.3">
      <c r="A51" s="13"/>
      <c r="B51" s="14"/>
      <c r="C51" s="15"/>
      <c r="D51" s="26"/>
      <c r="E51" s="47" t="s">
        <v>223</v>
      </c>
      <c r="F51" s="26">
        <f>22%*D50</f>
        <v>401.39</v>
      </c>
      <c r="G51" s="26"/>
      <c r="H51" s="26">
        <f>SUM(F51:G51)</f>
        <v>401.39</v>
      </c>
      <c r="I51" s="19">
        <v>0</v>
      </c>
      <c r="J51" s="19">
        <v>0</v>
      </c>
      <c r="K51" s="19">
        <v>0</v>
      </c>
      <c r="L51" s="19">
        <v>0</v>
      </c>
      <c r="M51" s="19">
        <f t="shared" si="11"/>
        <v>0</v>
      </c>
      <c r="N51" s="35"/>
      <c r="O51" s="43"/>
      <c r="P51" s="16"/>
    </row>
    <row r="52" spans="1:16" ht="18.75" customHeight="1" x14ac:dyDescent="0.3">
      <c r="A52" s="13"/>
      <c r="B52" s="14" t="s">
        <v>64</v>
      </c>
      <c r="C52" s="15" t="s">
        <v>56</v>
      </c>
      <c r="D52" s="26">
        <f>156.4+34.9</f>
        <v>191.3</v>
      </c>
      <c r="E52" s="50" t="s">
        <v>52</v>
      </c>
      <c r="F52" s="19">
        <v>0</v>
      </c>
      <c r="G52" s="26">
        <f>27%*D52</f>
        <v>51.651000000000003</v>
      </c>
      <c r="H52" s="26">
        <f t="shared" si="10"/>
        <v>51.651000000000003</v>
      </c>
      <c r="I52" s="19">
        <v>0</v>
      </c>
      <c r="J52" s="19">
        <v>5</v>
      </c>
      <c r="K52" s="19">
        <v>5</v>
      </c>
      <c r="L52" s="19">
        <v>0</v>
      </c>
      <c r="M52" s="19">
        <f t="shared" si="11"/>
        <v>10</v>
      </c>
      <c r="N52" s="35"/>
      <c r="O52" s="43"/>
      <c r="P52" s="16"/>
    </row>
    <row r="53" spans="1:16" ht="18.75" customHeight="1" x14ac:dyDescent="0.3">
      <c r="A53" s="13"/>
      <c r="B53" s="14"/>
      <c r="C53" s="15"/>
      <c r="D53" s="26"/>
      <c r="E53" s="47" t="s">
        <v>223</v>
      </c>
      <c r="F53" s="26">
        <f>11%*D52</f>
        <v>21.043000000000003</v>
      </c>
      <c r="G53" s="26"/>
      <c r="H53" s="26">
        <f>SUM(F53:G53)</f>
        <v>21.043000000000003</v>
      </c>
      <c r="I53" s="19">
        <v>0</v>
      </c>
      <c r="J53" s="19">
        <v>0</v>
      </c>
      <c r="K53" s="19">
        <v>0</v>
      </c>
      <c r="L53" s="19">
        <v>0</v>
      </c>
      <c r="M53" s="19">
        <f t="shared" si="11"/>
        <v>0</v>
      </c>
      <c r="N53" s="35"/>
      <c r="O53" s="43"/>
      <c r="P53" s="16"/>
    </row>
    <row r="54" spans="1:16" ht="18.75" customHeight="1" x14ac:dyDescent="0.3">
      <c r="A54" s="13"/>
      <c r="B54" s="14" t="s">
        <v>65</v>
      </c>
      <c r="C54" s="15" t="s">
        <v>30</v>
      </c>
      <c r="D54" s="26">
        <f>1499.7+565.1</f>
        <v>2064.8000000000002</v>
      </c>
      <c r="E54" s="50" t="s">
        <v>52</v>
      </c>
      <c r="F54" s="19">
        <v>0</v>
      </c>
      <c r="G54" s="26">
        <f>18%*D54</f>
        <v>371.66400000000004</v>
      </c>
      <c r="H54" s="26">
        <f t="shared" si="10"/>
        <v>371.66400000000004</v>
      </c>
      <c r="I54" s="19">
        <v>0</v>
      </c>
      <c r="J54" s="19">
        <v>0</v>
      </c>
      <c r="K54" s="19">
        <v>0</v>
      </c>
      <c r="L54" s="19">
        <v>0</v>
      </c>
      <c r="M54" s="19">
        <f t="shared" si="11"/>
        <v>0</v>
      </c>
      <c r="N54" s="35"/>
      <c r="O54" s="43"/>
      <c r="P54" s="16"/>
    </row>
    <row r="55" spans="1:16" ht="18.75" customHeight="1" x14ac:dyDescent="0.3">
      <c r="A55" s="13"/>
      <c r="B55" s="14"/>
      <c r="C55" s="15"/>
      <c r="D55" s="26"/>
      <c r="E55" s="47" t="s">
        <v>223</v>
      </c>
      <c r="F55" s="26">
        <f>15%*D54</f>
        <v>309.72000000000003</v>
      </c>
      <c r="G55" s="26"/>
      <c r="H55" s="26">
        <f>SUM(F55:G55)</f>
        <v>309.72000000000003</v>
      </c>
      <c r="I55" s="19">
        <v>0</v>
      </c>
      <c r="J55" s="19">
        <v>0</v>
      </c>
      <c r="K55" s="19">
        <v>0</v>
      </c>
      <c r="L55" s="19">
        <v>0</v>
      </c>
      <c r="M55" s="19">
        <f t="shared" si="11"/>
        <v>0</v>
      </c>
      <c r="N55" s="35"/>
      <c r="O55" s="43"/>
      <c r="P55" s="16"/>
    </row>
    <row r="56" spans="1:16" ht="18.75" customHeight="1" x14ac:dyDescent="0.3">
      <c r="A56" s="13"/>
      <c r="B56" s="14" t="s">
        <v>66</v>
      </c>
      <c r="C56" s="15" t="s">
        <v>31</v>
      </c>
      <c r="D56" s="26">
        <f>1207+389</f>
        <v>1596</v>
      </c>
      <c r="E56" s="50" t="s">
        <v>52</v>
      </c>
      <c r="F56" s="19">
        <v>0</v>
      </c>
      <c r="G56" s="26">
        <f>18%*D56</f>
        <v>287.27999999999997</v>
      </c>
      <c r="H56" s="26">
        <f t="shared" si="10"/>
        <v>287.27999999999997</v>
      </c>
      <c r="I56" s="19">
        <v>0</v>
      </c>
      <c r="J56" s="19">
        <v>0</v>
      </c>
      <c r="K56" s="19">
        <v>0</v>
      </c>
      <c r="L56" s="19">
        <v>0</v>
      </c>
      <c r="M56" s="19">
        <f t="shared" si="11"/>
        <v>0</v>
      </c>
      <c r="N56" s="35"/>
      <c r="O56" s="43"/>
      <c r="P56" s="16"/>
    </row>
    <row r="57" spans="1:16" ht="18.75" customHeight="1" x14ac:dyDescent="0.3">
      <c r="A57" s="13"/>
      <c r="B57" s="14"/>
      <c r="C57" s="15"/>
      <c r="D57" s="26"/>
      <c r="E57" s="47" t="s">
        <v>223</v>
      </c>
      <c r="F57" s="26">
        <f>22%*D54</f>
        <v>454.25600000000003</v>
      </c>
      <c r="G57" s="26"/>
      <c r="H57" s="26">
        <f>SUM(F57:G57)</f>
        <v>454.25600000000003</v>
      </c>
      <c r="I57" s="19">
        <v>0</v>
      </c>
      <c r="J57" s="19">
        <v>0</v>
      </c>
      <c r="K57" s="19">
        <v>0</v>
      </c>
      <c r="L57" s="19">
        <v>0</v>
      </c>
      <c r="M57" s="19">
        <f t="shared" si="11"/>
        <v>0</v>
      </c>
      <c r="N57" s="35"/>
      <c r="O57" s="43"/>
      <c r="P57" s="16"/>
    </row>
    <row r="58" spans="1:16" ht="18.75" customHeight="1" x14ac:dyDescent="0.3">
      <c r="A58" s="13"/>
      <c r="B58" s="14" t="s">
        <v>67</v>
      </c>
      <c r="C58" s="15" t="s">
        <v>32</v>
      </c>
      <c r="D58" s="26">
        <f>998.9+79.5</f>
        <v>1078.4000000000001</v>
      </c>
      <c r="E58" s="50" t="s">
        <v>52</v>
      </c>
      <c r="F58" s="19">
        <v>0</v>
      </c>
      <c r="G58" s="26">
        <f>25%*D58</f>
        <v>269.60000000000002</v>
      </c>
      <c r="H58" s="26">
        <f t="shared" si="10"/>
        <v>269.60000000000002</v>
      </c>
      <c r="I58" s="19">
        <v>0</v>
      </c>
      <c r="J58" s="19">
        <v>0</v>
      </c>
      <c r="K58" s="19">
        <v>0</v>
      </c>
      <c r="L58" s="19">
        <v>0</v>
      </c>
      <c r="M58" s="19">
        <f t="shared" si="11"/>
        <v>0</v>
      </c>
      <c r="N58" s="35"/>
      <c r="O58" s="43"/>
      <c r="P58" s="16"/>
    </row>
    <row r="59" spans="1:16" ht="18.75" customHeight="1" x14ac:dyDescent="0.3">
      <c r="A59" s="13"/>
      <c r="B59" s="14"/>
      <c r="C59" s="15"/>
      <c r="D59" s="26"/>
      <c r="E59" s="47" t="s">
        <v>223</v>
      </c>
      <c r="F59" s="26">
        <f>25%*D58</f>
        <v>269.60000000000002</v>
      </c>
      <c r="G59" s="26"/>
      <c r="H59" s="26">
        <f>SUM(F59:G59)</f>
        <v>269.60000000000002</v>
      </c>
      <c r="I59" s="19">
        <v>0</v>
      </c>
      <c r="J59" s="19">
        <v>0</v>
      </c>
      <c r="K59" s="19">
        <v>0</v>
      </c>
      <c r="L59" s="19">
        <v>0</v>
      </c>
      <c r="M59" s="19">
        <f t="shared" si="11"/>
        <v>0</v>
      </c>
      <c r="N59" s="35"/>
      <c r="O59" s="43"/>
      <c r="P59" s="16"/>
    </row>
    <row r="60" spans="1:16" ht="18.75" customHeight="1" x14ac:dyDescent="0.3">
      <c r="A60" s="13"/>
      <c r="B60" s="14" t="s">
        <v>68</v>
      </c>
      <c r="C60" s="15" t="s">
        <v>33</v>
      </c>
      <c r="D60" s="26">
        <f>1304+57.5</f>
        <v>1361.5</v>
      </c>
      <c r="E60" s="50" t="s">
        <v>52</v>
      </c>
      <c r="F60" s="19">
        <v>0</v>
      </c>
      <c r="G60" s="26">
        <f>28%*D60</f>
        <v>381.22</v>
      </c>
      <c r="H60" s="26">
        <f t="shared" si="10"/>
        <v>381.22</v>
      </c>
      <c r="I60" s="19">
        <v>0</v>
      </c>
      <c r="J60" s="19">
        <v>5</v>
      </c>
      <c r="K60" s="19">
        <v>0</v>
      </c>
      <c r="L60" s="19">
        <v>0</v>
      </c>
      <c r="M60" s="19">
        <f t="shared" si="11"/>
        <v>5</v>
      </c>
      <c r="N60" s="35"/>
      <c r="O60" s="43"/>
      <c r="P60" s="16"/>
    </row>
    <row r="61" spans="1:16" ht="18.75" customHeight="1" x14ac:dyDescent="0.3">
      <c r="A61" s="13"/>
      <c r="B61" s="14"/>
      <c r="C61" s="15"/>
      <c r="D61" s="26"/>
      <c r="E61" s="47" t="s">
        <v>223</v>
      </c>
      <c r="F61" s="26">
        <f>22%*D60</f>
        <v>299.53000000000003</v>
      </c>
      <c r="G61" s="26"/>
      <c r="H61" s="26">
        <f>SUM(F61:G61)</f>
        <v>299.53000000000003</v>
      </c>
      <c r="I61" s="19">
        <v>0</v>
      </c>
      <c r="J61" s="19">
        <v>0</v>
      </c>
      <c r="K61" s="19">
        <v>0</v>
      </c>
      <c r="L61" s="19">
        <v>0</v>
      </c>
      <c r="M61" s="19">
        <f t="shared" si="11"/>
        <v>0</v>
      </c>
      <c r="N61" s="35"/>
      <c r="O61" s="43"/>
      <c r="P61" s="16"/>
    </row>
    <row r="62" spans="1:16" ht="18.75" customHeight="1" x14ac:dyDescent="0.3">
      <c r="A62" s="13"/>
      <c r="B62" s="14" t="s">
        <v>69</v>
      </c>
      <c r="C62" s="15" t="s">
        <v>34</v>
      </c>
      <c r="D62" s="26">
        <f>1784.1+362</f>
        <v>2146.1</v>
      </c>
      <c r="E62" s="50" t="s">
        <v>52</v>
      </c>
      <c r="F62" s="19">
        <v>0</v>
      </c>
      <c r="G62" s="26">
        <f>30%*D62</f>
        <v>643.82999999999993</v>
      </c>
      <c r="H62" s="26">
        <f t="shared" si="10"/>
        <v>643.82999999999993</v>
      </c>
      <c r="I62" s="19">
        <v>0</v>
      </c>
      <c r="J62" s="19">
        <v>3</v>
      </c>
      <c r="K62" s="19">
        <v>1</v>
      </c>
      <c r="L62" s="19">
        <v>0</v>
      </c>
      <c r="M62" s="19">
        <f t="shared" si="11"/>
        <v>4</v>
      </c>
      <c r="N62" s="35"/>
      <c r="O62" s="43"/>
      <c r="P62" s="16"/>
    </row>
    <row r="63" spans="1:16" ht="18.75" customHeight="1" x14ac:dyDescent="0.3">
      <c r="A63" s="13"/>
      <c r="B63" s="14"/>
      <c r="C63" s="15"/>
      <c r="D63" s="26"/>
      <c r="E63" s="47" t="s">
        <v>223</v>
      </c>
      <c r="F63" s="26">
        <f>25%*D62</f>
        <v>536.52499999999998</v>
      </c>
      <c r="G63" s="26"/>
      <c r="H63" s="26">
        <f>SUM(F63:G63)</f>
        <v>536.52499999999998</v>
      </c>
      <c r="I63" s="19">
        <v>0</v>
      </c>
      <c r="J63" s="19">
        <v>0</v>
      </c>
      <c r="K63" s="19">
        <v>0</v>
      </c>
      <c r="L63" s="19">
        <v>0</v>
      </c>
      <c r="M63" s="19">
        <f t="shared" si="11"/>
        <v>0</v>
      </c>
      <c r="N63" s="35"/>
      <c r="O63" s="43"/>
      <c r="P63" s="16"/>
    </row>
    <row r="64" spans="1:16" ht="18.75" customHeight="1" x14ac:dyDescent="0.3">
      <c r="A64" s="13"/>
      <c r="B64" s="14" t="s">
        <v>70</v>
      </c>
      <c r="C64" s="15" t="s">
        <v>35</v>
      </c>
      <c r="D64" s="26">
        <f>1557+181.5</f>
        <v>1738.5</v>
      </c>
      <c r="E64" s="50" t="s">
        <v>52</v>
      </c>
      <c r="F64" s="19">
        <v>0</v>
      </c>
      <c r="G64" s="26">
        <f>29%*D64</f>
        <v>504.16499999999996</v>
      </c>
      <c r="H64" s="26">
        <f t="shared" si="10"/>
        <v>504.16499999999996</v>
      </c>
      <c r="I64" s="19">
        <v>0</v>
      </c>
      <c r="J64" s="19">
        <v>0</v>
      </c>
      <c r="K64" s="19">
        <v>0</v>
      </c>
      <c r="L64" s="19">
        <v>0</v>
      </c>
      <c r="M64" s="19">
        <f t="shared" si="11"/>
        <v>0</v>
      </c>
      <c r="N64" s="35"/>
      <c r="O64" s="43"/>
      <c r="P64" s="16"/>
    </row>
    <row r="65" spans="1:16" ht="18.75" customHeight="1" x14ac:dyDescent="0.3">
      <c r="A65" s="13"/>
      <c r="B65" s="14"/>
      <c r="C65" s="15"/>
      <c r="D65" s="26"/>
      <c r="E65" s="47" t="s">
        <v>223</v>
      </c>
      <c r="F65" s="26">
        <f>25%*D64</f>
        <v>434.625</v>
      </c>
      <c r="G65" s="26"/>
      <c r="H65" s="26">
        <f>SUM(F65:G65)</f>
        <v>434.625</v>
      </c>
      <c r="I65" s="19">
        <v>0</v>
      </c>
      <c r="J65" s="19">
        <v>0</v>
      </c>
      <c r="K65" s="19">
        <v>0</v>
      </c>
      <c r="L65" s="19">
        <v>0</v>
      </c>
      <c r="M65" s="19">
        <f t="shared" si="11"/>
        <v>0</v>
      </c>
      <c r="N65" s="35"/>
      <c r="O65" s="43"/>
      <c r="P65" s="16"/>
    </row>
    <row r="66" spans="1:16" ht="18.75" customHeight="1" x14ac:dyDescent="0.3">
      <c r="A66" s="13"/>
      <c r="B66" s="14" t="s">
        <v>71</v>
      </c>
      <c r="C66" s="15" t="s">
        <v>21</v>
      </c>
      <c r="D66" s="26">
        <f>1940+114</f>
        <v>2054</v>
      </c>
      <c r="E66" s="50" t="s">
        <v>52</v>
      </c>
      <c r="F66" s="19">
        <v>0</v>
      </c>
      <c r="G66" s="26">
        <f>30%*D66</f>
        <v>616.19999999999993</v>
      </c>
      <c r="H66" s="26">
        <f t="shared" si="10"/>
        <v>616.19999999999993</v>
      </c>
      <c r="I66" s="19">
        <v>0</v>
      </c>
      <c r="J66" s="19">
        <v>0</v>
      </c>
      <c r="K66" s="19">
        <v>0</v>
      </c>
      <c r="L66" s="19">
        <v>0</v>
      </c>
      <c r="M66" s="19">
        <f t="shared" si="11"/>
        <v>0</v>
      </c>
      <c r="N66" s="35"/>
      <c r="O66" s="43"/>
      <c r="P66" s="16"/>
    </row>
    <row r="67" spans="1:16" ht="18.75" customHeight="1" x14ac:dyDescent="0.3">
      <c r="A67" s="13"/>
      <c r="B67" s="14"/>
      <c r="C67" s="15"/>
      <c r="D67" s="26"/>
      <c r="E67" s="47" t="s">
        <v>223</v>
      </c>
      <c r="F67" s="26">
        <f>15%*D66</f>
        <v>308.09999999999997</v>
      </c>
      <c r="G67" s="26"/>
      <c r="H67" s="26">
        <f>SUM(F67:G67)</f>
        <v>308.09999999999997</v>
      </c>
      <c r="I67" s="19">
        <v>0</v>
      </c>
      <c r="J67" s="19">
        <v>0</v>
      </c>
      <c r="K67" s="19">
        <v>0</v>
      </c>
      <c r="L67" s="19">
        <v>0</v>
      </c>
      <c r="M67" s="19">
        <f t="shared" si="11"/>
        <v>0</v>
      </c>
      <c r="N67" s="35"/>
      <c r="O67" s="43"/>
      <c r="P67" s="16"/>
    </row>
    <row r="68" spans="1:16" ht="18.75" customHeight="1" x14ac:dyDescent="0.3">
      <c r="A68" s="13"/>
      <c r="B68" s="14" t="s">
        <v>72</v>
      </c>
      <c r="C68" s="15" t="s">
        <v>42</v>
      </c>
      <c r="D68" s="26">
        <f>773.1+303.8</f>
        <v>1076.9000000000001</v>
      </c>
      <c r="E68" s="50" t="s">
        <v>52</v>
      </c>
      <c r="F68" s="19">
        <v>0</v>
      </c>
      <c r="G68" s="26">
        <f>30%*D68</f>
        <v>323.07</v>
      </c>
      <c r="H68" s="26">
        <f t="shared" si="10"/>
        <v>323.07</v>
      </c>
      <c r="I68" s="19">
        <v>0</v>
      </c>
      <c r="J68" s="19">
        <v>0</v>
      </c>
      <c r="K68" s="19">
        <v>0</v>
      </c>
      <c r="L68" s="19">
        <v>0</v>
      </c>
      <c r="M68" s="19">
        <f t="shared" si="11"/>
        <v>0</v>
      </c>
      <c r="N68" s="35"/>
      <c r="O68" s="36"/>
      <c r="P68" s="16"/>
    </row>
    <row r="69" spans="1:16" ht="18.75" customHeight="1" x14ac:dyDescent="0.3">
      <c r="A69" s="13"/>
      <c r="B69" s="14"/>
      <c r="C69" s="15"/>
      <c r="D69" s="26"/>
      <c r="E69" s="47" t="s">
        <v>223</v>
      </c>
      <c r="F69" s="26">
        <f>15%*D68</f>
        <v>161.535</v>
      </c>
      <c r="G69" s="26"/>
      <c r="H69" s="26">
        <f>SUM(F69:G69)</f>
        <v>161.535</v>
      </c>
      <c r="I69" s="19">
        <v>0</v>
      </c>
      <c r="J69" s="19">
        <v>0</v>
      </c>
      <c r="K69" s="19">
        <v>0</v>
      </c>
      <c r="L69" s="19">
        <v>0</v>
      </c>
      <c r="M69" s="19">
        <f t="shared" si="11"/>
        <v>0</v>
      </c>
      <c r="N69" s="35"/>
      <c r="O69" s="36"/>
      <c r="P69" s="16"/>
    </row>
    <row r="70" spans="1:16" ht="18.75" customHeight="1" x14ac:dyDescent="0.3">
      <c r="A70" s="13"/>
      <c r="B70" s="14" t="s">
        <v>73</v>
      </c>
      <c r="C70" s="15" t="s">
        <v>105</v>
      </c>
      <c r="D70" s="26">
        <f>153.8+8.7</f>
        <v>162.5</v>
      </c>
      <c r="E70" s="50" t="s">
        <v>52</v>
      </c>
      <c r="F70" s="19">
        <v>0</v>
      </c>
      <c r="G70" s="26">
        <f>30%*D70</f>
        <v>48.75</v>
      </c>
      <c r="H70" s="26">
        <f t="shared" si="10"/>
        <v>48.75</v>
      </c>
      <c r="I70" s="19">
        <v>0</v>
      </c>
      <c r="J70" s="19">
        <v>0</v>
      </c>
      <c r="K70" s="19">
        <v>0</v>
      </c>
      <c r="L70" s="19">
        <v>0</v>
      </c>
      <c r="M70" s="19">
        <f t="shared" si="11"/>
        <v>0</v>
      </c>
      <c r="N70" s="35"/>
      <c r="O70" s="36"/>
      <c r="P70" s="16"/>
    </row>
    <row r="71" spans="1:16" ht="18.75" customHeight="1" x14ac:dyDescent="0.3">
      <c r="A71" s="13"/>
      <c r="B71" s="14"/>
      <c r="C71" s="15"/>
      <c r="D71" s="26"/>
      <c r="E71" s="47" t="s">
        <v>223</v>
      </c>
      <c r="F71" s="26">
        <f>25%*D70</f>
        <v>40.625</v>
      </c>
      <c r="G71" s="26"/>
      <c r="H71" s="26">
        <f>SUM(F71:G71)</f>
        <v>40.625</v>
      </c>
      <c r="I71" s="19">
        <v>0</v>
      </c>
      <c r="J71" s="19">
        <v>0</v>
      </c>
      <c r="K71" s="19">
        <v>0</v>
      </c>
      <c r="L71" s="19">
        <v>0</v>
      </c>
      <c r="M71" s="19">
        <f t="shared" si="11"/>
        <v>0</v>
      </c>
      <c r="N71" s="35"/>
      <c r="O71" s="36"/>
      <c r="P71" s="16"/>
    </row>
    <row r="72" spans="1:16" ht="18.75" customHeight="1" x14ac:dyDescent="0.3">
      <c r="A72" s="13"/>
      <c r="B72" s="14" t="s">
        <v>74</v>
      </c>
      <c r="C72" s="15" t="s">
        <v>110</v>
      </c>
      <c r="D72" s="26">
        <f>695+48.2</f>
        <v>743.2</v>
      </c>
      <c r="E72" s="50" t="s">
        <v>52</v>
      </c>
      <c r="F72" s="19">
        <v>0</v>
      </c>
      <c r="G72" s="26">
        <f>20%*D72</f>
        <v>148.64000000000001</v>
      </c>
      <c r="H72" s="26">
        <f t="shared" si="10"/>
        <v>148.64000000000001</v>
      </c>
      <c r="I72" s="19">
        <v>0</v>
      </c>
      <c r="J72" s="19">
        <v>0</v>
      </c>
      <c r="K72" s="19">
        <v>0</v>
      </c>
      <c r="L72" s="19">
        <v>0</v>
      </c>
      <c r="M72" s="19">
        <f t="shared" si="11"/>
        <v>0</v>
      </c>
      <c r="N72" s="35"/>
      <c r="O72" s="36"/>
      <c r="P72" s="16"/>
    </row>
    <row r="73" spans="1:16" ht="18.75" customHeight="1" x14ac:dyDescent="0.3">
      <c r="A73" s="13"/>
      <c r="B73" s="14"/>
      <c r="C73" s="15"/>
      <c r="D73" s="26"/>
      <c r="E73" s="47" t="s">
        <v>223</v>
      </c>
      <c r="F73" s="26">
        <f>9%*D72</f>
        <v>66.888000000000005</v>
      </c>
      <c r="G73" s="26"/>
      <c r="H73" s="26">
        <f>SUM(F73:G73)</f>
        <v>66.888000000000005</v>
      </c>
      <c r="I73" s="19">
        <v>0</v>
      </c>
      <c r="J73" s="19">
        <v>0</v>
      </c>
      <c r="K73" s="19">
        <v>0</v>
      </c>
      <c r="L73" s="19">
        <v>0</v>
      </c>
      <c r="M73" s="19">
        <f t="shared" si="11"/>
        <v>0</v>
      </c>
      <c r="N73" s="35"/>
      <c r="O73" s="36"/>
      <c r="P73" s="16"/>
    </row>
    <row r="74" spans="1:16" ht="18.75" customHeight="1" x14ac:dyDescent="0.3">
      <c r="A74" s="13"/>
      <c r="B74" s="14" t="s">
        <v>75</v>
      </c>
      <c r="C74" s="15" t="s">
        <v>112</v>
      </c>
      <c r="D74" s="26">
        <f>375+14</f>
        <v>389</v>
      </c>
      <c r="E74" s="50" t="s">
        <v>52</v>
      </c>
      <c r="F74" s="19">
        <v>0</v>
      </c>
      <c r="G74" s="26">
        <f>20%*D74</f>
        <v>77.800000000000011</v>
      </c>
      <c r="H74" s="26">
        <f t="shared" si="10"/>
        <v>77.800000000000011</v>
      </c>
      <c r="I74" s="19">
        <v>0</v>
      </c>
      <c r="J74" s="19">
        <v>0</v>
      </c>
      <c r="K74" s="19">
        <v>0</v>
      </c>
      <c r="L74" s="19">
        <v>0</v>
      </c>
      <c r="M74" s="19">
        <f t="shared" si="11"/>
        <v>0</v>
      </c>
      <c r="N74" s="35"/>
      <c r="O74" s="36"/>
      <c r="P74" s="16"/>
    </row>
    <row r="75" spans="1:16" ht="18.75" customHeight="1" x14ac:dyDescent="0.3">
      <c r="A75" s="13"/>
      <c r="B75" s="14"/>
      <c r="C75" s="15"/>
      <c r="D75" s="26"/>
      <c r="E75" s="47" t="s">
        <v>223</v>
      </c>
      <c r="F75" s="26">
        <f>25%*D74</f>
        <v>97.25</v>
      </c>
      <c r="G75" s="26"/>
      <c r="H75" s="26">
        <f>SUM(F75:G75)</f>
        <v>97.25</v>
      </c>
      <c r="I75" s="19">
        <v>0</v>
      </c>
      <c r="J75" s="19">
        <v>0</v>
      </c>
      <c r="K75" s="19">
        <v>0</v>
      </c>
      <c r="L75" s="19">
        <v>0</v>
      </c>
      <c r="M75" s="19">
        <f t="shared" si="11"/>
        <v>0</v>
      </c>
      <c r="N75" s="35"/>
      <c r="O75" s="36"/>
      <c r="P75" s="16"/>
    </row>
    <row r="76" spans="1:16" ht="18.75" customHeight="1" x14ac:dyDescent="0.3">
      <c r="A76" s="13"/>
      <c r="B76" s="14" t="s">
        <v>104</v>
      </c>
      <c r="C76" s="15" t="s">
        <v>114</v>
      </c>
      <c r="D76" s="26">
        <f>73.5</f>
        <v>73.5</v>
      </c>
      <c r="E76" s="50" t="s">
        <v>52</v>
      </c>
      <c r="F76" s="19">
        <v>0</v>
      </c>
      <c r="G76" s="26">
        <f>20%*D76</f>
        <v>14.700000000000001</v>
      </c>
      <c r="H76" s="26">
        <f t="shared" si="10"/>
        <v>14.700000000000001</v>
      </c>
      <c r="I76" s="19">
        <v>0</v>
      </c>
      <c r="J76" s="19">
        <v>0</v>
      </c>
      <c r="K76" s="19">
        <v>0</v>
      </c>
      <c r="L76" s="19">
        <v>0</v>
      </c>
      <c r="M76" s="19">
        <f t="shared" si="11"/>
        <v>0</v>
      </c>
      <c r="N76" s="35"/>
      <c r="O76" s="36"/>
      <c r="P76" s="16"/>
    </row>
    <row r="77" spans="1:16" ht="18.75" customHeight="1" x14ac:dyDescent="0.3">
      <c r="A77" s="13"/>
      <c r="B77" s="14"/>
      <c r="C77" s="15"/>
      <c r="D77" s="26"/>
      <c r="E77" s="47" t="s">
        <v>223</v>
      </c>
      <c r="F77" s="26">
        <f>15%*D76</f>
        <v>11.025</v>
      </c>
      <c r="G77" s="26"/>
      <c r="H77" s="26">
        <f>SUM(F77:G77)</f>
        <v>11.025</v>
      </c>
      <c r="I77" s="19">
        <v>0</v>
      </c>
      <c r="J77" s="19">
        <v>0</v>
      </c>
      <c r="K77" s="19">
        <v>0</v>
      </c>
      <c r="L77" s="19">
        <v>0</v>
      </c>
      <c r="M77" s="19">
        <f t="shared" si="11"/>
        <v>0</v>
      </c>
      <c r="N77" s="35"/>
      <c r="O77" s="36"/>
      <c r="P77" s="16"/>
    </row>
    <row r="78" spans="1:16" ht="18.75" customHeight="1" x14ac:dyDescent="0.3">
      <c r="A78" s="13"/>
      <c r="B78" s="14" t="s">
        <v>106</v>
      </c>
      <c r="C78" s="15" t="s">
        <v>22</v>
      </c>
      <c r="D78" s="26">
        <f>1130+101</f>
        <v>1231</v>
      </c>
      <c r="E78" s="50" t="s">
        <v>52</v>
      </c>
      <c r="F78" s="19">
        <v>0</v>
      </c>
      <c r="G78" s="26">
        <f>20%*D78</f>
        <v>246.20000000000002</v>
      </c>
      <c r="H78" s="26">
        <f t="shared" si="10"/>
        <v>246.20000000000002</v>
      </c>
      <c r="I78" s="19">
        <v>0</v>
      </c>
      <c r="J78" s="19">
        <v>0</v>
      </c>
      <c r="K78" s="19">
        <v>0</v>
      </c>
      <c r="L78" s="19">
        <v>0</v>
      </c>
      <c r="M78" s="19">
        <f t="shared" si="11"/>
        <v>0</v>
      </c>
      <c r="N78" s="35"/>
      <c r="O78" s="36"/>
      <c r="P78" s="16"/>
    </row>
    <row r="79" spans="1:16" ht="18.75" customHeight="1" x14ac:dyDescent="0.3">
      <c r="A79" s="13"/>
      <c r="B79" s="14"/>
      <c r="C79" s="15"/>
      <c r="D79" s="26"/>
      <c r="E79" s="47" t="s">
        <v>223</v>
      </c>
      <c r="F79" s="26">
        <f>25%*D78</f>
        <v>307.75</v>
      </c>
      <c r="G79" s="26"/>
      <c r="H79" s="26">
        <f>SUM(F79:G79)</f>
        <v>307.75</v>
      </c>
      <c r="I79" s="19">
        <v>0</v>
      </c>
      <c r="J79" s="19">
        <v>0</v>
      </c>
      <c r="K79" s="19">
        <v>0</v>
      </c>
      <c r="L79" s="19">
        <v>0</v>
      </c>
      <c r="M79" s="19">
        <f t="shared" si="11"/>
        <v>0</v>
      </c>
      <c r="N79" s="35"/>
      <c r="O79" s="36"/>
      <c r="P79" s="16"/>
    </row>
    <row r="80" spans="1:16" ht="18.75" customHeight="1" x14ac:dyDescent="0.3">
      <c r="A80" s="13"/>
      <c r="B80" s="14" t="s">
        <v>108</v>
      </c>
      <c r="C80" s="15" t="s">
        <v>180</v>
      </c>
      <c r="D80" s="26">
        <f>134.8+5</f>
        <v>139.80000000000001</v>
      </c>
      <c r="E80" s="47" t="s">
        <v>52</v>
      </c>
      <c r="F80" s="19">
        <v>0</v>
      </c>
      <c r="G80" s="26">
        <f>20%*D80</f>
        <v>27.960000000000004</v>
      </c>
      <c r="H80" s="26">
        <f t="shared" si="10"/>
        <v>27.960000000000004</v>
      </c>
      <c r="I80" s="19">
        <v>0</v>
      </c>
      <c r="J80" s="19">
        <v>0</v>
      </c>
      <c r="K80" s="19">
        <v>0</v>
      </c>
      <c r="L80" s="19">
        <v>0</v>
      </c>
      <c r="M80" s="19">
        <f t="shared" si="11"/>
        <v>0</v>
      </c>
      <c r="N80" s="35"/>
      <c r="O80" s="36"/>
      <c r="P80" s="16"/>
    </row>
    <row r="81" spans="1:16" ht="15.75" customHeight="1" x14ac:dyDescent="0.3">
      <c r="A81" s="13"/>
      <c r="B81" s="14"/>
      <c r="C81" s="15"/>
      <c r="D81" s="26"/>
      <c r="E81" s="47" t="s">
        <v>223</v>
      </c>
      <c r="F81" s="26">
        <f>25%*D80</f>
        <v>34.950000000000003</v>
      </c>
      <c r="G81" s="26"/>
      <c r="H81" s="26">
        <f>SUM(F81:G81)</f>
        <v>34.950000000000003</v>
      </c>
      <c r="I81" s="19">
        <v>0</v>
      </c>
      <c r="J81" s="19">
        <v>0</v>
      </c>
      <c r="K81" s="19">
        <v>0</v>
      </c>
      <c r="L81" s="19">
        <v>0</v>
      </c>
      <c r="M81" s="19">
        <f t="shared" si="11"/>
        <v>0</v>
      </c>
      <c r="N81" s="35"/>
      <c r="O81" s="36"/>
      <c r="P81" s="16"/>
    </row>
    <row r="82" spans="1:16" ht="18.75" customHeight="1" x14ac:dyDescent="0.3">
      <c r="A82" s="13"/>
      <c r="B82" s="14" t="s">
        <v>109</v>
      </c>
      <c r="C82" s="15" t="s">
        <v>43</v>
      </c>
      <c r="D82" s="26">
        <f>1189+216.6</f>
        <v>1405.6</v>
      </c>
      <c r="E82" s="50" t="s">
        <v>52</v>
      </c>
      <c r="F82" s="19">
        <v>0</v>
      </c>
      <c r="G82" s="26">
        <f>20%*D82</f>
        <v>281.12</v>
      </c>
      <c r="H82" s="26">
        <f t="shared" si="10"/>
        <v>281.12</v>
      </c>
      <c r="I82" s="19">
        <v>0</v>
      </c>
      <c r="J82" s="19">
        <v>0</v>
      </c>
      <c r="K82" s="19">
        <v>0</v>
      </c>
      <c r="L82" s="19">
        <v>0</v>
      </c>
      <c r="M82" s="19">
        <f t="shared" si="11"/>
        <v>0</v>
      </c>
      <c r="N82" s="35"/>
      <c r="O82" s="36"/>
      <c r="P82" s="16"/>
    </row>
    <row r="83" spans="1:16" ht="12.75" customHeight="1" x14ac:dyDescent="0.3">
      <c r="A83" s="13"/>
      <c r="B83" s="14"/>
      <c r="C83" s="15"/>
      <c r="D83" s="26"/>
      <c r="E83" s="47" t="s">
        <v>223</v>
      </c>
      <c r="F83" s="26">
        <f>20%*D82</f>
        <v>281.12</v>
      </c>
      <c r="G83" s="26"/>
      <c r="H83" s="26">
        <f>SUM(F83:G83)</f>
        <v>281.12</v>
      </c>
      <c r="I83" s="19">
        <v>0</v>
      </c>
      <c r="J83" s="19">
        <v>0</v>
      </c>
      <c r="K83" s="19">
        <v>0</v>
      </c>
      <c r="L83" s="19">
        <v>0</v>
      </c>
      <c r="M83" s="19">
        <f t="shared" si="11"/>
        <v>0</v>
      </c>
      <c r="N83" s="35"/>
      <c r="O83" s="36"/>
      <c r="P83" s="16"/>
    </row>
    <row r="84" spans="1:16" ht="14.25" customHeight="1" x14ac:dyDescent="0.3">
      <c r="A84" s="13"/>
      <c r="B84" s="55" t="s">
        <v>111</v>
      </c>
      <c r="C84" s="56" t="s">
        <v>44</v>
      </c>
      <c r="D84" s="57">
        <f>1396.6+127</f>
        <v>1523.6</v>
      </c>
      <c r="E84" s="78" t="s">
        <v>52</v>
      </c>
      <c r="F84" s="19">
        <v>0</v>
      </c>
      <c r="G84" s="26">
        <f>25%*D84</f>
        <v>380.9</v>
      </c>
      <c r="H84" s="26">
        <f t="shared" si="10"/>
        <v>380.9</v>
      </c>
      <c r="I84" s="19">
        <v>0</v>
      </c>
      <c r="J84" s="19">
        <v>0</v>
      </c>
      <c r="K84" s="19">
        <v>0</v>
      </c>
      <c r="L84" s="19">
        <v>0</v>
      </c>
      <c r="M84" s="19">
        <f t="shared" si="11"/>
        <v>0</v>
      </c>
      <c r="N84" s="35"/>
      <c r="O84" s="36"/>
      <c r="P84" s="16"/>
    </row>
    <row r="85" spans="1:16" ht="12.75" customHeight="1" x14ac:dyDescent="0.3">
      <c r="A85" s="13"/>
      <c r="B85" s="55"/>
      <c r="C85" s="56"/>
      <c r="D85" s="57"/>
      <c r="E85" s="47" t="s">
        <v>223</v>
      </c>
      <c r="F85" s="26">
        <f>20%*D84</f>
        <v>304.71999999999997</v>
      </c>
      <c r="G85" s="26"/>
      <c r="H85" s="26">
        <f>SUM(F85:G85)</f>
        <v>304.71999999999997</v>
      </c>
      <c r="I85" s="19">
        <v>0</v>
      </c>
      <c r="J85" s="19">
        <v>0</v>
      </c>
      <c r="K85" s="19">
        <v>0</v>
      </c>
      <c r="L85" s="19">
        <v>0</v>
      </c>
      <c r="M85" s="19">
        <f t="shared" si="11"/>
        <v>0</v>
      </c>
      <c r="N85" s="35"/>
      <c r="O85" s="36"/>
      <c r="P85" s="16"/>
    </row>
    <row r="86" spans="1:16" ht="18.75" customHeight="1" x14ac:dyDescent="0.3">
      <c r="A86" s="13"/>
      <c r="B86" s="14" t="s">
        <v>74</v>
      </c>
      <c r="C86" s="15" t="s">
        <v>43</v>
      </c>
      <c r="D86" s="26">
        <v>1189</v>
      </c>
      <c r="E86" s="50" t="s">
        <v>52</v>
      </c>
      <c r="F86" s="19">
        <v>0</v>
      </c>
      <c r="G86" s="26">
        <f>25%*D86</f>
        <v>297.25</v>
      </c>
      <c r="H86" s="26">
        <f t="shared" si="10"/>
        <v>297.25</v>
      </c>
      <c r="I86" s="19">
        <v>0</v>
      </c>
      <c r="J86" s="19">
        <v>5</v>
      </c>
      <c r="K86" s="19">
        <v>0</v>
      </c>
      <c r="L86" s="19">
        <v>0</v>
      </c>
      <c r="M86" s="19">
        <f t="shared" si="11"/>
        <v>5</v>
      </c>
      <c r="N86" s="35"/>
      <c r="O86" s="36"/>
      <c r="P86" s="16"/>
    </row>
    <row r="87" spans="1:16" ht="14.25" customHeight="1" x14ac:dyDescent="0.3">
      <c r="A87" s="54"/>
      <c r="B87" s="55"/>
      <c r="C87" s="56"/>
      <c r="D87" s="57"/>
      <c r="E87" s="47" t="s">
        <v>223</v>
      </c>
      <c r="F87" s="26">
        <f>20%*D86</f>
        <v>237.8</v>
      </c>
      <c r="G87" s="26"/>
      <c r="H87" s="26">
        <f>SUM(F87:G87)</f>
        <v>237.8</v>
      </c>
      <c r="I87" s="19">
        <v>0</v>
      </c>
      <c r="J87" s="19">
        <v>0</v>
      </c>
      <c r="K87" s="19">
        <v>0</v>
      </c>
      <c r="L87" s="19">
        <v>0</v>
      </c>
      <c r="M87" s="19">
        <f t="shared" si="11"/>
        <v>0</v>
      </c>
      <c r="N87" s="80"/>
      <c r="O87" s="81"/>
      <c r="P87" s="87"/>
    </row>
    <row r="88" spans="1:16" ht="18.75" customHeight="1" x14ac:dyDescent="0.3">
      <c r="A88" s="54"/>
      <c r="B88" s="55" t="s">
        <v>75</v>
      </c>
      <c r="C88" s="56" t="s">
        <v>44</v>
      </c>
      <c r="D88" s="57">
        <v>1391</v>
      </c>
      <c r="E88" s="78" t="s">
        <v>52</v>
      </c>
      <c r="F88" s="19">
        <v>0</v>
      </c>
      <c r="G88" s="26">
        <f>25%*D88</f>
        <v>347.75</v>
      </c>
      <c r="H88" s="26">
        <f t="shared" si="10"/>
        <v>347.75</v>
      </c>
      <c r="I88" s="19">
        <v>0</v>
      </c>
      <c r="J88" s="19"/>
      <c r="K88" s="19">
        <v>2</v>
      </c>
      <c r="L88" s="19">
        <v>0</v>
      </c>
      <c r="M88" s="19">
        <f t="shared" si="11"/>
        <v>2</v>
      </c>
      <c r="N88" s="80"/>
      <c r="O88" s="81"/>
      <c r="P88" s="87"/>
    </row>
    <row r="89" spans="1:16" ht="18.75" customHeight="1" x14ac:dyDescent="0.3">
      <c r="A89" s="141"/>
      <c r="B89" s="117"/>
      <c r="C89" s="116"/>
      <c r="D89" s="109"/>
      <c r="E89" s="110" t="s">
        <v>223</v>
      </c>
      <c r="F89" s="90">
        <f>15%*D88</f>
        <v>208.65</v>
      </c>
      <c r="G89" s="90"/>
      <c r="H89" s="90">
        <f>SUM(F89:G89)</f>
        <v>208.65</v>
      </c>
      <c r="I89" s="19">
        <v>0</v>
      </c>
      <c r="J89" s="19">
        <v>0</v>
      </c>
      <c r="K89" s="19">
        <v>0</v>
      </c>
      <c r="L89" s="19">
        <v>0</v>
      </c>
      <c r="M89" s="19">
        <f t="shared" si="11"/>
        <v>0</v>
      </c>
      <c r="N89" s="93"/>
      <c r="O89" s="113"/>
      <c r="P89" s="5"/>
    </row>
    <row r="90" spans="1:16" ht="18.75" customHeight="1" x14ac:dyDescent="0.3">
      <c r="A90" s="89"/>
      <c r="B90" s="71"/>
      <c r="C90" s="72"/>
      <c r="D90" s="84">
        <f>SUM(D30:D88)</f>
        <v>30736.879999999997</v>
      </c>
      <c r="E90" s="74"/>
      <c r="F90" s="83">
        <f>SUM(F30:F88)</f>
        <v>6286.1115</v>
      </c>
      <c r="G90" s="83">
        <f>SUM(G30:G88)</f>
        <v>9970.018</v>
      </c>
      <c r="H90" s="83">
        <f>SUM(H30:H89)</f>
        <v>16464.779500000001</v>
      </c>
      <c r="I90" s="83">
        <f>SUM(I30:I89)</f>
        <v>0</v>
      </c>
      <c r="J90" s="83">
        <f>SUM(J30:J88)</f>
        <v>37</v>
      </c>
      <c r="K90" s="83">
        <f>SUM(K30:K88)</f>
        <v>46</v>
      </c>
      <c r="L90" s="83">
        <f>SUM(L30:L88)</f>
        <v>0</v>
      </c>
      <c r="M90" s="83">
        <f>SUM(M30:M88)</f>
        <v>83</v>
      </c>
      <c r="N90" s="76"/>
      <c r="O90" s="77"/>
      <c r="P90" s="75"/>
    </row>
    <row r="91" spans="1:16" ht="18.75" customHeight="1" x14ac:dyDescent="0.3">
      <c r="A91" s="63">
        <v>4</v>
      </c>
      <c r="B91" s="64" t="s">
        <v>46</v>
      </c>
      <c r="C91" s="65"/>
      <c r="D91" s="66"/>
      <c r="E91" s="67"/>
      <c r="F91" s="82"/>
      <c r="G91" s="82"/>
      <c r="H91" s="82"/>
      <c r="I91" s="82"/>
      <c r="J91" s="82"/>
      <c r="K91" s="82"/>
      <c r="L91" s="82"/>
      <c r="M91" s="82"/>
      <c r="N91" s="69"/>
      <c r="O91" s="70"/>
      <c r="P91" s="68"/>
    </row>
    <row r="92" spans="1:16" ht="18.75" customHeight="1" x14ac:dyDescent="0.3">
      <c r="A92" s="102"/>
      <c r="B92" s="98" t="s">
        <v>57</v>
      </c>
      <c r="C92" s="99" t="s">
        <v>29</v>
      </c>
      <c r="D92" s="96">
        <v>175</v>
      </c>
      <c r="E92" s="101" t="s">
        <v>233</v>
      </c>
      <c r="F92" s="96"/>
      <c r="G92" s="96">
        <f>50%*D92</f>
        <v>87.5</v>
      </c>
      <c r="H92" s="96">
        <f>SUM(F92:G92)</f>
        <v>87.5</v>
      </c>
      <c r="I92" s="97">
        <v>0</v>
      </c>
      <c r="J92" s="97"/>
      <c r="K92" s="97">
        <v>0</v>
      </c>
      <c r="L92" s="97">
        <v>0</v>
      </c>
      <c r="M92" s="97">
        <f t="shared" ref="M92:M99" si="12">SUM(I92:L92)</f>
        <v>0</v>
      </c>
      <c r="N92" s="35"/>
      <c r="O92" s="36" t="s">
        <v>229</v>
      </c>
      <c r="P92" s="16"/>
    </row>
    <row r="93" spans="1:16" ht="18.75" customHeight="1" x14ac:dyDescent="0.3">
      <c r="A93" s="13"/>
      <c r="B93" s="14" t="s">
        <v>58</v>
      </c>
      <c r="C93" s="15" t="s">
        <v>33</v>
      </c>
      <c r="D93" s="26">
        <v>270</v>
      </c>
      <c r="E93" s="101" t="s">
        <v>233</v>
      </c>
      <c r="F93" s="26">
        <f>4%*D93</f>
        <v>10.8</v>
      </c>
      <c r="G93" s="26">
        <f>35%*D93</f>
        <v>94.5</v>
      </c>
      <c r="H93" s="26">
        <f t="shared" ref="H93:H99" si="13">SUM(F93:G93)</f>
        <v>105.3</v>
      </c>
      <c r="I93" s="19">
        <v>0</v>
      </c>
      <c r="J93" s="19"/>
      <c r="K93" s="19">
        <v>0</v>
      </c>
      <c r="L93" s="19">
        <v>0</v>
      </c>
      <c r="M93" s="19">
        <f t="shared" si="12"/>
        <v>0</v>
      </c>
      <c r="N93" s="35"/>
      <c r="O93" s="36"/>
      <c r="P93" s="16"/>
    </row>
    <row r="94" spans="1:16" ht="18.75" customHeight="1" x14ac:dyDescent="0.3">
      <c r="A94" s="13"/>
      <c r="B94" s="98" t="s">
        <v>59</v>
      </c>
      <c r="C94" s="99" t="s">
        <v>42</v>
      </c>
      <c r="D94" s="96">
        <v>798.93</v>
      </c>
      <c r="E94" s="101" t="s">
        <v>233</v>
      </c>
      <c r="F94" s="96">
        <f>5%*D94</f>
        <v>39.9465</v>
      </c>
      <c r="G94" s="97">
        <f>30%*D94</f>
        <v>239.67899999999997</v>
      </c>
      <c r="H94" s="96">
        <f t="shared" si="13"/>
        <v>279.62549999999999</v>
      </c>
      <c r="I94" s="97">
        <v>0</v>
      </c>
      <c r="J94" s="97"/>
      <c r="K94" s="97">
        <v>0</v>
      </c>
      <c r="L94" s="97">
        <v>0</v>
      </c>
      <c r="M94" s="97">
        <f t="shared" si="12"/>
        <v>0</v>
      </c>
      <c r="N94" s="35"/>
      <c r="O94" s="36"/>
      <c r="P94" s="16"/>
    </row>
    <row r="95" spans="1:16" ht="24" customHeight="1" x14ac:dyDescent="0.3">
      <c r="A95" s="13"/>
      <c r="B95" s="98" t="s">
        <v>60</v>
      </c>
      <c r="C95" s="99" t="s">
        <v>21</v>
      </c>
      <c r="D95" s="96">
        <v>1086.55</v>
      </c>
      <c r="E95" s="101" t="s">
        <v>186</v>
      </c>
      <c r="F95" s="96">
        <f>10%*D95</f>
        <v>108.655</v>
      </c>
      <c r="G95" s="97">
        <f>25%*D95</f>
        <v>271.63749999999999</v>
      </c>
      <c r="H95" s="96">
        <f t="shared" si="13"/>
        <v>380.29250000000002</v>
      </c>
      <c r="I95" s="97">
        <v>0</v>
      </c>
      <c r="J95" s="97">
        <v>4</v>
      </c>
      <c r="K95" s="97">
        <v>2</v>
      </c>
      <c r="L95" s="97">
        <v>0</v>
      </c>
      <c r="M95" s="97">
        <f t="shared" si="12"/>
        <v>6</v>
      </c>
      <c r="N95" s="35"/>
      <c r="O95" s="36"/>
      <c r="P95" s="16"/>
    </row>
    <row r="96" spans="1:16" ht="17.25" customHeight="1" x14ac:dyDescent="0.3">
      <c r="A96" s="13"/>
      <c r="B96" s="98"/>
      <c r="C96" s="99"/>
      <c r="D96" s="96"/>
      <c r="E96" s="101" t="s">
        <v>233</v>
      </c>
      <c r="F96" s="96"/>
      <c r="G96" s="96">
        <f>30%*D95</f>
        <v>325.96499999999997</v>
      </c>
      <c r="H96" s="96">
        <f>SUM(F96:G96)</f>
        <v>325.96499999999997</v>
      </c>
      <c r="I96" s="19">
        <v>0</v>
      </c>
      <c r="J96" s="19">
        <v>0</v>
      </c>
      <c r="K96" s="19">
        <v>0</v>
      </c>
      <c r="L96" s="19">
        <v>0</v>
      </c>
      <c r="M96" s="19">
        <f t="shared" si="12"/>
        <v>0</v>
      </c>
      <c r="N96" s="35"/>
      <c r="O96" s="36"/>
      <c r="P96" s="16"/>
    </row>
    <row r="97" spans="1:16" ht="18.75" customHeight="1" x14ac:dyDescent="0.3">
      <c r="A97" s="16"/>
      <c r="B97" s="14" t="s">
        <v>61</v>
      </c>
      <c r="C97" s="15" t="s">
        <v>22</v>
      </c>
      <c r="D97" s="26">
        <v>1084.55</v>
      </c>
      <c r="E97" s="101" t="s">
        <v>233</v>
      </c>
      <c r="F97" s="26">
        <f>5%*D97</f>
        <v>54.227499999999999</v>
      </c>
      <c r="G97" s="19">
        <f>20%*D97</f>
        <v>216.91</v>
      </c>
      <c r="H97" s="26">
        <f t="shared" si="13"/>
        <v>271.13749999999999</v>
      </c>
      <c r="I97" s="19">
        <v>0</v>
      </c>
      <c r="J97" s="19">
        <v>1</v>
      </c>
      <c r="K97" s="19">
        <v>2</v>
      </c>
      <c r="L97" s="19">
        <v>0</v>
      </c>
      <c r="M97" s="19">
        <f t="shared" si="12"/>
        <v>3</v>
      </c>
      <c r="N97" s="35"/>
      <c r="O97" s="36"/>
      <c r="P97" s="16"/>
    </row>
    <row r="98" spans="1:16" ht="18.75" customHeight="1" x14ac:dyDescent="0.3">
      <c r="A98" s="87"/>
      <c r="B98" s="55" t="s">
        <v>62</v>
      </c>
      <c r="C98" s="56" t="s">
        <v>43</v>
      </c>
      <c r="D98" s="57">
        <v>33</v>
      </c>
      <c r="E98" s="101" t="s">
        <v>233</v>
      </c>
      <c r="F98" s="26">
        <f>6%*D98</f>
        <v>1.98</v>
      </c>
      <c r="G98" s="19">
        <f>20%*D98</f>
        <v>6.6000000000000005</v>
      </c>
      <c r="H98" s="26">
        <f t="shared" si="13"/>
        <v>8.58</v>
      </c>
      <c r="I98" s="19">
        <v>0</v>
      </c>
      <c r="J98" s="19">
        <v>4</v>
      </c>
      <c r="K98" s="19">
        <v>0</v>
      </c>
      <c r="L98" s="19">
        <v>0</v>
      </c>
      <c r="M98" s="19">
        <f t="shared" si="12"/>
        <v>4</v>
      </c>
      <c r="N98" s="80"/>
      <c r="O98" s="81"/>
      <c r="P98" s="87"/>
    </row>
    <row r="99" spans="1:16" ht="24.75" customHeight="1" x14ac:dyDescent="0.3">
      <c r="A99" s="16"/>
      <c r="B99" s="14" t="s">
        <v>63</v>
      </c>
      <c r="C99" s="15" t="s">
        <v>32</v>
      </c>
      <c r="D99" s="26">
        <v>178.5</v>
      </c>
      <c r="E99" s="101" t="s">
        <v>236</v>
      </c>
      <c r="F99" s="26">
        <f>6%*D99</f>
        <v>10.709999999999999</v>
      </c>
      <c r="G99" s="19">
        <f>32%*D99</f>
        <v>57.120000000000005</v>
      </c>
      <c r="H99" s="26">
        <f t="shared" si="13"/>
        <v>67.83</v>
      </c>
      <c r="I99" s="135">
        <v>0</v>
      </c>
      <c r="J99" s="135">
        <v>4</v>
      </c>
      <c r="K99" s="135">
        <v>0</v>
      </c>
      <c r="L99" s="135">
        <v>0</v>
      </c>
      <c r="M99" s="135">
        <f t="shared" si="12"/>
        <v>4</v>
      </c>
      <c r="N99" s="35"/>
      <c r="O99" s="36"/>
      <c r="P99" s="16"/>
    </row>
    <row r="100" spans="1:16" ht="18.75" customHeight="1" x14ac:dyDescent="0.3">
      <c r="A100" s="75"/>
      <c r="B100" s="71"/>
      <c r="C100" s="72"/>
      <c r="D100" s="73">
        <f>SUM(D92:D99)</f>
        <v>3626.5299999999997</v>
      </c>
      <c r="E100" s="74"/>
      <c r="F100" s="73">
        <f t="shared" ref="F100:K100" si="14">SUM(F92:F99)</f>
        <v>226.31899999999999</v>
      </c>
      <c r="G100" s="83">
        <f t="shared" si="14"/>
        <v>1299.9114999999997</v>
      </c>
      <c r="H100" s="73">
        <f t="shared" si="14"/>
        <v>1526.2304999999999</v>
      </c>
      <c r="I100" s="83">
        <f t="shared" si="14"/>
        <v>0</v>
      </c>
      <c r="J100" s="83">
        <f t="shared" si="14"/>
        <v>13</v>
      </c>
      <c r="K100" s="83">
        <f t="shared" si="14"/>
        <v>4</v>
      </c>
      <c r="L100" s="83"/>
      <c r="M100" s="83">
        <f>SUM(M92:M99)</f>
        <v>17</v>
      </c>
      <c r="N100" s="76"/>
      <c r="O100" s="77"/>
      <c r="P100" s="75"/>
    </row>
    <row r="101" spans="1:16" ht="16.5" customHeight="1" x14ac:dyDescent="0.3">
      <c r="A101" s="63">
        <v>5</v>
      </c>
      <c r="B101" s="64" t="s">
        <v>96</v>
      </c>
      <c r="C101" s="65"/>
      <c r="D101" s="66"/>
      <c r="E101" s="67"/>
      <c r="F101" s="66"/>
      <c r="G101" s="66"/>
      <c r="H101" s="66"/>
      <c r="I101" s="82"/>
      <c r="J101" s="82"/>
      <c r="K101" s="82"/>
      <c r="L101" s="82"/>
      <c r="M101" s="82"/>
      <c r="N101" s="69"/>
      <c r="O101" s="70"/>
      <c r="P101" s="68"/>
    </row>
    <row r="102" spans="1:16" ht="16.5" customHeight="1" x14ac:dyDescent="0.3">
      <c r="A102" s="16"/>
      <c r="B102" s="14" t="s">
        <v>57</v>
      </c>
      <c r="C102" s="15" t="s">
        <v>22</v>
      </c>
      <c r="D102" s="26">
        <v>9.5</v>
      </c>
      <c r="E102" s="47" t="s">
        <v>163</v>
      </c>
      <c r="F102" s="26">
        <f>15%*D102</f>
        <v>1.425</v>
      </c>
      <c r="G102" s="26">
        <v>0</v>
      </c>
      <c r="H102" s="26">
        <f t="shared" ref="H102:H110" si="15">SUM(F102:G102)</f>
        <v>1.425</v>
      </c>
      <c r="I102" s="19">
        <v>0</v>
      </c>
      <c r="J102" s="19"/>
      <c r="K102" s="19">
        <v>0</v>
      </c>
      <c r="L102" s="19">
        <v>0</v>
      </c>
      <c r="M102" s="19">
        <f>SUM(I102:L102)</f>
        <v>0</v>
      </c>
      <c r="N102" s="35"/>
      <c r="O102" s="36" t="s">
        <v>136</v>
      </c>
      <c r="P102" s="16"/>
    </row>
    <row r="103" spans="1:16" ht="17.25" customHeight="1" x14ac:dyDescent="0.3">
      <c r="A103" s="16"/>
      <c r="B103" s="14" t="s">
        <v>58</v>
      </c>
      <c r="C103" s="15" t="s">
        <v>21</v>
      </c>
      <c r="D103" s="26">
        <v>18.11</v>
      </c>
      <c r="E103" s="47" t="s">
        <v>164</v>
      </c>
      <c r="F103" s="26">
        <f>15%*D103</f>
        <v>2.7164999999999999</v>
      </c>
      <c r="G103" s="26">
        <f>5%*D103</f>
        <v>0.90549999999999997</v>
      </c>
      <c r="H103" s="26">
        <f t="shared" si="15"/>
        <v>3.6219999999999999</v>
      </c>
      <c r="I103" s="19">
        <v>0</v>
      </c>
      <c r="J103" s="19">
        <v>2</v>
      </c>
      <c r="K103" s="19">
        <v>3</v>
      </c>
      <c r="L103" s="19">
        <v>0</v>
      </c>
      <c r="M103" s="19">
        <f t="shared" ref="M103:M110" si="16">SUM(I103:L103)</f>
        <v>5</v>
      </c>
      <c r="N103" s="35"/>
      <c r="O103" s="36" t="s">
        <v>50</v>
      </c>
      <c r="P103" s="16"/>
    </row>
    <row r="104" spans="1:16" ht="16.5" customHeight="1" x14ac:dyDescent="0.3">
      <c r="A104" s="16"/>
      <c r="B104" s="14"/>
      <c r="C104" s="15"/>
      <c r="D104" s="26"/>
      <c r="E104" s="49" t="s">
        <v>187</v>
      </c>
      <c r="F104" s="96">
        <f>10%*D103</f>
        <v>1.8109999999999999</v>
      </c>
      <c r="G104" s="96">
        <v>0</v>
      </c>
      <c r="H104" s="96">
        <f t="shared" si="15"/>
        <v>1.8109999999999999</v>
      </c>
      <c r="I104" s="97">
        <v>0</v>
      </c>
      <c r="J104" s="97">
        <v>0</v>
      </c>
      <c r="K104" s="97">
        <v>0</v>
      </c>
      <c r="L104" s="97">
        <v>0</v>
      </c>
      <c r="M104" s="97">
        <f t="shared" si="16"/>
        <v>0</v>
      </c>
      <c r="N104" s="35"/>
      <c r="O104" s="36"/>
      <c r="P104" s="16"/>
    </row>
    <row r="105" spans="1:16" ht="16.5" customHeight="1" x14ac:dyDescent="0.3">
      <c r="A105" s="16"/>
      <c r="B105" s="14" t="s">
        <v>59</v>
      </c>
      <c r="C105" s="15" t="s">
        <v>43</v>
      </c>
      <c r="D105" s="26">
        <v>18.79</v>
      </c>
      <c r="E105" s="47" t="s">
        <v>163</v>
      </c>
      <c r="F105" s="26">
        <f>11%*D105</f>
        <v>2.0669</v>
      </c>
      <c r="G105" s="26">
        <v>0</v>
      </c>
      <c r="H105" s="26">
        <f t="shared" si="15"/>
        <v>2.0669</v>
      </c>
      <c r="I105" s="19">
        <v>0</v>
      </c>
      <c r="J105" s="19">
        <v>3</v>
      </c>
      <c r="K105" s="19">
        <v>1</v>
      </c>
      <c r="L105" s="19">
        <v>0</v>
      </c>
      <c r="M105" s="19">
        <f t="shared" si="16"/>
        <v>4</v>
      </c>
      <c r="N105" s="35"/>
      <c r="O105" s="36" t="s">
        <v>137</v>
      </c>
      <c r="P105" s="16"/>
    </row>
    <row r="106" spans="1:16" ht="17.25" customHeight="1" x14ac:dyDescent="0.3">
      <c r="A106" s="16"/>
      <c r="B106" s="14" t="s">
        <v>60</v>
      </c>
      <c r="C106" s="15" t="s">
        <v>44</v>
      </c>
      <c r="D106" s="26">
        <v>30.5</v>
      </c>
      <c r="E106" s="47" t="s">
        <v>164</v>
      </c>
      <c r="F106" s="26">
        <f>15%*D106</f>
        <v>4.5750000000000002</v>
      </c>
      <c r="G106" s="26">
        <v>0</v>
      </c>
      <c r="H106" s="26">
        <f t="shared" si="15"/>
        <v>4.5750000000000002</v>
      </c>
      <c r="I106" s="19">
        <v>0</v>
      </c>
      <c r="J106" s="19">
        <v>0</v>
      </c>
      <c r="K106" s="19">
        <v>0</v>
      </c>
      <c r="L106" s="19">
        <v>0</v>
      </c>
      <c r="M106" s="19">
        <f t="shared" si="16"/>
        <v>0</v>
      </c>
      <c r="N106" s="35"/>
      <c r="O106" s="36" t="s">
        <v>145</v>
      </c>
      <c r="P106" s="16"/>
    </row>
    <row r="107" spans="1:16" ht="15.75" customHeight="1" x14ac:dyDescent="0.3">
      <c r="A107" s="16"/>
      <c r="B107" s="14" t="s">
        <v>61</v>
      </c>
      <c r="C107" s="15" t="s">
        <v>33</v>
      </c>
      <c r="D107" s="26">
        <v>5.5</v>
      </c>
      <c r="E107" s="47" t="s">
        <v>163</v>
      </c>
      <c r="F107" s="26">
        <f>12%*D107</f>
        <v>0.65999999999999992</v>
      </c>
      <c r="G107" s="26">
        <v>0</v>
      </c>
      <c r="H107" s="26">
        <f t="shared" si="15"/>
        <v>0.65999999999999992</v>
      </c>
      <c r="I107" s="19">
        <v>0</v>
      </c>
      <c r="J107" s="19">
        <v>0</v>
      </c>
      <c r="K107" s="19">
        <v>0</v>
      </c>
      <c r="L107" s="19">
        <v>0</v>
      </c>
      <c r="M107" s="19">
        <f t="shared" si="16"/>
        <v>0</v>
      </c>
      <c r="N107" s="35"/>
      <c r="O107" s="36" t="s">
        <v>146</v>
      </c>
      <c r="P107" s="16"/>
    </row>
    <row r="108" spans="1:16" ht="17.25" customHeight="1" x14ac:dyDescent="0.3">
      <c r="A108" s="16"/>
      <c r="B108" s="14" t="s">
        <v>62</v>
      </c>
      <c r="C108" s="15" t="s">
        <v>32</v>
      </c>
      <c r="D108" s="26">
        <v>1.25</v>
      </c>
      <c r="E108" s="47" t="s">
        <v>163</v>
      </c>
      <c r="F108" s="26">
        <f>12%*D108</f>
        <v>0.15</v>
      </c>
      <c r="G108" s="26">
        <v>0</v>
      </c>
      <c r="H108" s="26">
        <f t="shared" si="15"/>
        <v>0.15</v>
      </c>
      <c r="I108" s="19">
        <v>0</v>
      </c>
      <c r="J108" s="19">
        <v>0</v>
      </c>
      <c r="K108" s="19">
        <v>0</v>
      </c>
      <c r="L108" s="19">
        <v>0</v>
      </c>
      <c r="M108" s="19">
        <f t="shared" si="16"/>
        <v>0</v>
      </c>
      <c r="N108" s="35"/>
      <c r="O108" s="36"/>
      <c r="P108" s="16"/>
    </row>
    <row r="109" spans="1:16" ht="16.5" customHeight="1" x14ac:dyDescent="0.3">
      <c r="A109" s="16"/>
      <c r="B109" s="14">
        <v>9</v>
      </c>
      <c r="C109" s="15" t="s">
        <v>30</v>
      </c>
      <c r="D109" s="26">
        <v>10</v>
      </c>
      <c r="E109" s="47" t="s">
        <v>163</v>
      </c>
      <c r="F109" s="26">
        <f>12%*D109</f>
        <v>1.2</v>
      </c>
      <c r="G109" s="26">
        <v>0</v>
      </c>
      <c r="H109" s="26">
        <f t="shared" si="15"/>
        <v>1.2</v>
      </c>
      <c r="I109" s="19">
        <v>0</v>
      </c>
      <c r="J109" s="19">
        <v>0</v>
      </c>
      <c r="K109" s="19">
        <v>0</v>
      </c>
      <c r="L109" s="19">
        <v>0</v>
      </c>
      <c r="M109" s="19">
        <f t="shared" si="16"/>
        <v>0</v>
      </c>
      <c r="N109" s="35"/>
      <c r="O109" s="36"/>
      <c r="P109" s="16"/>
    </row>
    <row r="110" spans="1:16" ht="17.25" customHeight="1" x14ac:dyDescent="0.3">
      <c r="A110" s="87"/>
      <c r="B110" s="55" t="s">
        <v>64</v>
      </c>
      <c r="C110" s="56" t="s">
        <v>31</v>
      </c>
      <c r="D110" s="57">
        <v>4</v>
      </c>
      <c r="E110" s="85" t="s">
        <v>164</v>
      </c>
      <c r="F110" s="26">
        <f>15%*D110</f>
        <v>0.6</v>
      </c>
      <c r="G110" s="26">
        <v>0</v>
      </c>
      <c r="H110" s="26">
        <f t="shared" si="15"/>
        <v>0.6</v>
      </c>
      <c r="I110" s="79">
        <v>0</v>
      </c>
      <c r="J110" s="79">
        <v>0</v>
      </c>
      <c r="K110" s="79">
        <v>0</v>
      </c>
      <c r="L110" s="79">
        <v>0</v>
      </c>
      <c r="M110" s="79">
        <f t="shared" si="16"/>
        <v>0</v>
      </c>
      <c r="N110" s="80"/>
      <c r="O110" s="81"/>
      <c r="P110" s="87"/>
    </row>
    <row r="111" spans="1:16" ht="18.75" customHeight="1" x14ac:dyDescent="0.3">
      <c r="A111" s="75"/>
      <c r="B111" s="71"/>
      <c r="C111" s="72"/>
      <c r="D111" s="73">
        <f>SUM(D102:D110)</f>
        <v>97.65</v>
      </c>
      <c r="E111" s="74"/>
      <c r="F111" s="73">
        <f t="shared" ref="F111:K111" si="17">SUM(F102:F110)</f>
        <v>15.2044</v>
      </c>
      <c r="G111" s="83">
        <f t="shared" si="17"/>
        <v>0.90549999999999997</v>
      </c>
      <c r="H111" s="73">
        <f t="shared" si="17"/>
        <v>16.1099</v>
      </c>
      <c r="I111" s="83">
        <f t="shared" si="17"/>
        <v>0</v>
      </c>
      <c r="J111" s="83">
        <f t="shared" si="17"/>
        <v>5</v>
      </c>
      <c r="K111" s="83">
        <f t="shared" si="17"/>
        <v>4</v>
      </c>
      <c r="L111" s="83">
        <f>SUM(L84:L93)</f>
        <v>0</v>
      </c>
      <c r="M111" s="83">
        <f>SUM(M102:M110)</f>
        <v>9</v>
      </c>
      <c r="N111" s="76"/>
      <c r="O111" s="77"/>
      <c r="P111" s="75"/>
    </row>
    <row r="112" spans="1:16" ht="17.25" customHeight="1" x14ac:dyDescent="0.3">
      <c r="A112" s="103">
        <v>6</v>
      </c>
      <c r="B112" s="104" t="s">
        <v>116</v>
      </c>
      <c r="C112" s="104"/>
      <c r="D112" s="105"/>
      <c r="E112" s="106"/>
      <c r="F112" s="105"/>
      <c r="G112" s="107"/>
      <c r="H112" s="105"/>
      <c r="I112" s="107"/>
      <c r="J112" s="107"/>
      <c r="K112" s="107"/>
      <c r="L112" s="107"/>
      <c r="M112" s="107"/>
      <c r="N112" s="114"/>
      <c r="O112" s="112"/>
      <c r="P112" s="104"/>
    </row>
    <row r="113" spans="1:16" ht="58.5" customHeight="1" x14ac:dyDescent="0.3">
      <c r="A113" s="16"/>
      <c r="B113" s="98" t="s">
        <v>57</v>
      </c>
      <c r="C113" s="99" t="s">
        <v>30</v>
      </c>
      <c r="D113" s="96">
        <v>24.5</v>
      </c>
      <c r="E113" s="101" t="s">
        <v>188</v>
      </c>
      <c r="F113" s="96">
        <f>5%*D113</f>
        <v>1.2250000000000001</v>
      </c>
      <c r="G113" s="97">
        <v>0</v>
      </c>
      <c r="H113" s="96">
        <f t="shared" ref="H113:H117" si="18">SUM(F113:G113)</f>
        <v>1.2250000000000001</v>
      </c>
      <c r="I113" s="97">
        <v>0</v>
      </c>
      <c r="J113" s="97"/>
      <c r="K113" s="97">
        <v>1</v>
      </c>
      <c r="L113" s="97">
        <v>0</v>
      </c>
      <c r="M113" s="97">
        <f>SUM(I113:L113)</f>
        <v>1</v>
      </c>
      <c r="N113" s="35"/>
      <c r="O113" s="40" t="s">
        <v>239</v>
      </c>
      <c r="P113" s="16"/>
    </row>
    <row r="114" spans="1:16" ht="22.5" customHeight="1" x14ac:dyDescent="0.3">
      <c r="A114" s="16"/>
      <c r="B114" s="14" t="s">
        <v>58</v>
      </c>
      <c r="C114" s="15" t="s">
        <v>44</v>
      </c>
      <c r="D114" s="26">
        <v>72.03</v>
      </c>
      <c r="E114" s="47" t="s">
        <v>182</v>
      </c>
      <c r="F114" s="26">
        <f>10%*D114</f>
        <v>7.2030000000000003</v>
      </c>
      <c r="G114" s="19">
        <v>0</v>
      </c>
      <c r="H114" s="26">
        <f t="shared" si="18"/>
        <v>7.2030000000000003</v>
      </c>
      <c r="I114" s="19">
        <v>0</v>
      </c>
      <c r="J114" s="19">
        <v>3</v>
      </c>
      <c r="K114" s="19">
        <v>2</v>
      </c>
      <c r="L114" s="19">
        <v>0</v>
      </c>
      <c r="M114" s="19">
        <f t="shared" ref="M114:M117" si="19">SUM(I114:L114)</f>
        <v>5</v>
      </c>
      <c r="N114" s="35"/>
      <c r="O114" s="36"/>
      <c r="P114" s="16"/>
    </row>
    <row r="115" spans="1:16" ht="30.75" customHeight="1" x14ac:dyDescent="0.3">
      <c r="A115" s="16"/>
      <c r="B115" s="14"/>
      <c r="C115" s="15"/>
      <c r="D115" s="26"/>
      <c r="E115" s="101" t="s">
        <v>181</v>
      </c>
      <c r="F115" s="96">
        <f>13%*D114</f>
        <v>9.363900000000001</v>
      </c>
      <c r="G115" s="97">
        <v>0</v>
      </c>
      <c r="H115" s="96">
        <f t="shared" si="18"/>
        <v>9.363900000000001</v>
      </c>
      <c r="I115" s="97">
        <v>0</v>
      </c>
      <c r="J115" s="97"/>
      <c r="K115" s="97">
        <v>0</v>
      </c>
      <c r="L115" s="97">
        <v>0</v>
      </c>
      <c r="M115" s="97">
        <f>SUM(I115:L115)</f>
        <v>0</v>
      </c>
      <c r="N115" s="35"/>
      <c r="O115" s="36"/>
      <c r="P115" s="16"/>
    </row>
    <row r="116" spans="1:16" ht="30" customHeight="1" x14ac:dyDescent="0.3">
      <c r="A116" s="16"/>
      <c r="B116" s="14" t="s">
        <v>59</v>
      </c>
      <c r="C116" s="15" t="s">
        <v>33</v>
      </c>
      <c r="D116" s="26">
        <v>14.2</v>
      </c>
      <c r="E116" s="101" t="s">
        <v>181</v>
      </c>
      <c r="F116" s="26">
        <f>10%*D116</f>
        <v>1.42</v>
      </c>
      <c r="G116" s="19">
        <v>0</v>
      </c>
      <c r="H116" s="26">
        <f t="shared" si="18"/>
        <v>1.42</v>
      </c>
      <c r="I116" s="19">
        <v>0</v>
      </c>
      <c r="J116" s="19"/>
      <c r="K116" s="19"/>
      <c r="L116" s="19">
        <v>0</v>
      </c>
      <c r="M116" s="19">
        <f t="shared" si="19"/>
        <v>0</v>
      </c>
      <c r="N116" s="35"/>
      <c r="O116" s="36"/>
      <c r="P116" s="16"/>
    </row>
    <row r="117" spans="1:16" ht="41.25" customHeight="1" x14ac:dyDescent="0.3">
      <c r="A117" s="108"/>
      <c r="B117" s="128" t="s">
        <v>61</v>
      </c>
      <c r="C117" s="126" t="s">
        <v>35</v>
      </c>
      <c r="D117" s="127">
        <v>35.72</v>
      </c>
      <c r="E117" s="142" t="s">
        <v>183</v>
      </c>
      <c r="F117" s="127">
        <f>9%*D117</f>
        <v>3.2147999999999999</v>
      </c>
      <c r="G117" s="143">
        <v>0</v>
      </c>
      <c r="H117" s="127">
        <f t="shared" si="18"/>
        <v>3.2147999999999999</v>
      </c>
      <c r="I117" s="143">
        <v>0</v>
      </c>
      <c r="J117" s="143">
        <v>0</v>
      </c>
      <c r="K117" s="143">
        <v>0</v>
      </c>
      <c r="L117" s="143">
        <v>0</v>
      </c>
      <c r="M117" s="143">
        <f t="shared" si="19"/>
        <v>0</v>
      </c>
      <c r="N117" s="115"/>
      <c r="O117" s="113"/>
      <c r="P117" s="108"/>
    </row>
    <row r="118" spans="1:16" ht="20.25" customHeight="1" x14ac:dyDescent="0.3">
      <c r="A118" s="75"/>
      <c r="B118" s="136"/>
      <c r="C118" s="137"/>
      <c r="D118" s="138">
        <f>SUM(D113:D117)</f>
        <v>146.44999999999999</v>
      </c>
      <c r="E118" s="139"/>
      <c r="F118" s="138">
        <f t="shared" ref="F118:M118" si="20">SUM(F113:F117)</f>
        <v>22.4267</v>
      </c>
      <c r="G118" s="140">
        <f t="shared" si="20"/>
        <v>0</v>
      </c>
      <c r="H118" s="138">
        <f t="shared" si="20"/>
        <v>22.4267</v>
      </c>
      <c r="I118" s="140">
        <f t="shared" si="20"/>
        <v>0</v>
      </c>
      <c r="J118" s="140">
        <f t="shared" si="20"/>
        <v>3</v>
      </c>
      <c r="K118" s="140">
        <f t="shared" si="20"/>
        <v>3</v>
      </c>
      <c r="L118" s="140">
        <f t="shared" si="20"/>
        <v>0</v>
      </c>
      <c r="M118" s="140">
        <f t="shared" si="20"/>
        <v>6</v>
      </c>
      <c r="N118" s="76"/>
      <c r="O118" s="77"/>
      <c r="P118" s="75"/>
    </row>
    <row r="119" spans="1:16" ht="15.75" customHeight="1" x14ac:dyDescent="0.3">
      <c r="A119" s="63">
        <v>7</v>
      </c>
      <c r="B119" s="8" t="s">
        <v>117</v>
      </c>
      <c r="C119" s="10"/>
      <c r="D119" s="90"/>
      <c r="E119" s="67"/>
      <c r="F119" s="66"/>
      <c r="G119" s="82"/>
      <c r="H119" s="66"/>
      <c r="I119" s="82"/>
      <c r="J119" s="82"/>
      <c r="K119" s="82"/>
      <c r="L119" s="82"/>
      <c r="M119" s="82"/>
      <c r="N119" s="69"/>
      <c r="O119" s="70"/>
      <c r="P119" s="5"/>
    </row>
    <row r="120" spans="1:16" ht="24.75" customHeight="1" x14ac:dyDescent="0.3">
      <c r="A120" s="16"/>
      <c r="B120" s="14" t="s">
        <v>57</v>
      </c>
      <c r="C120" s="15" t="s">
        <v>22</v>
      </c>
      <c r="D120" s="26">
        <v>296.95</v>
      </c>
      <c r="E120" s="101" t="s">
        <v>203</v>
      </c>
      <c r="F120" s="96">
        <f>12%*D120</f>
        <v>35.634</v>
      </c>
      <c r="G120" s="97">
        <v>0</v>
      </c>
      <c r="H120" s="96">
        <f t="shared" ref="H120:H130" si="21">SUM(F120:G120)</f>
        <v>35.634</v>
      </c>
      <c r="I120" s="97">
        <v>0</v>
      </c>
      <c r="J120" s="97">
        <v>5</v>
      </c>
      <c r="K120" s="97">
        <v>0</v>
      </c>
      <c r="L120" s="97">
        <v>4</v>
      </c>
      <c r="M120" s="97">
        <f>SUM(I120:L120)</f>
        <v>9</v>
      </c>
      <c r="N120" s="35"/>
      <c r="O120" s="40" t="s">
        <v>211</v>
      </c>
      <c r="P120" s="87"/>
    </row>
    <row r="121" spans="1:16" ht="18.75" customHeight="1" x14ac:dyDescent="0.3">
      <c r="A121" s="16"/>
      <c r="B121" s="14"/>
      <c r="C121" s="15"/>
      <c r="D121" s="26"/>
      <c r="E121" s="101" t="s">
        <v>220</v>
      </c>
      <c r="F121" s="96">
        <f>10%*D120</f>
        <v>29.695</v>
      </c>
      <c r="G121" s="97"/>
      <c r="H121" s="96">
        <f>SUM(F121:G121)</f>
        <v>29.695</v>
      </c>
      <c r="I121" s="97"/>
      <c r="J121" s="97"/>
      <c r="K121" s="97"/>
      <c r="L121" s="97"/>
      <c r="M121" s="97"/>
      <c r="N121" s="35"/>
      <c r="O121" s="40"/>
      <c r="P121" s="87"/>
    </row>
    <row r="122" spans="1:16" ht="32.25" customHeight="1" x14ac:dyDescent="0.3">
      <c r="A122" s="16"/>
      <c r="B122" s="14" t="s">
        <v>58</v>
      </c>
      <c r="C122" s="15" t="s">
        <v>42</v>
      </c>
      <c r="D122" s="26">
        <v>190.5</v>
      </c>
      <c r="E122" s="101" t="s">
        <v>203</v>
      </c>
      <c r="F122" s="96">
        <f>15%*D122</f>
        <v>28.574999999999999</v>
      </c>
      <c r="G122" s="97">
        <v>0</v>
      </c>
      <c r="H122" s="96">
        <f t="shared" si="21"/>
        <v>28.574999999999999</v>
      </c>
      <c r="I122" s="97">
        <v>0</v>
      </c>
      <c r="J122" s="97"/>
      <c r="K122" s="97">
        <v>0</v>
      </c>
      <c r="L122" s="97">
        <v>4</v>
      </c>
      <c r="M122" s="97">
        <f>SUM(I122:L122)</f>
        <v>4</v>
      </c>
      <c r="N122" s="35"/>
      <c r="O122" s="40" t="s">
        <v>219</v>
      </c>
      <c r="P122" s="87"/>
    </row>
    <row r="123" spans="1:16" ht="18.75" customHeight="1" x14ac:dyDescent="0.3">
      <c r="A123" s="16"/>
      <c r="B123" s="14"/>
      <c r="C123" s="15"/>
      <c r="D123" s="26"/>
      <c r="E123" s="101" t="s">
        <v>220</v>
      </c>
      <c r="F123" s="96">
        <f>11%*D122</f>
        <v>20.955000000000002</v>
      </c>
      <c r="G123" s="97"/>
      <c r="H123" s="96">
        <f>SUM(F123:G123)</f>
        <v>20.955000000000002</v>
      </c>
      <c r="I123" s="97"/>
      <c r="J123" s="97"/>
      <c r="K123" s="97"/>
      <c r="L123" s="97"/>
      <c r="M123" s="97"/>
      <c r="N123" s="35"/>
      <c r="O123" s="40"/>
      <c r="P123" s="87"/>
    </row>
    <row r="124" spans="1:16" ht="22.5" customHeight="1" x14ac:dyDescent="0.3">
      <c r="A124" s="16"/>
      <c r="B124" s="14" t="s">
        <v>59</v>
      </c>
      <c r="C124" s="15" t="s">
        <v>21</v>
      </c>
      <c r="D124" s="18" t="s">
        <v>201</v>
      </c>
      <c r="E124" s="101" t="s">
        <v>203</v>
      </c>
      <c r="F124" s="145"/>
      <c r="G124" s="145">
        <v>10</v>
      </c>
      <c r="H124" s="96">
        <f t="shared" si="21"/>
        <v>10</v>
      </c>
      <c r="I124" s="97">
        <v>0</v>
      </c>
      <c r="J124" s="97"/>
      <c r="K124" s="97">
        <v>0</v>
      </c>
      <c r="L124" s="97">
        <v>4</v>
      </c>
      <c r="M124" s="97">
        <f>SUM(I124:L124)</f>
        <v>4</v>
      </c>
      <c r="N124" s="35"/>
      <c r="O124" s="36"/>
      <c r="P124" s="87"/>
    </row>
    <row r="125" spans="1:16" ht="18.75" customHeight="1" x14ac:dyDescent="0.3">
      <c r="A125" s="16"/>
      <c r="B125" s="14"/>
      <c r="C125" s="15"/>
      <c r="D125" s="18"/>
      <c r="E125" s="101" t="s">
        <v>220</v>
      </c>
      <c r="F125" s="145"/>
      <c r="G125" s="97">
        <v>5</v>
      </c>
      <c r="H125" s="96">
        <f>SUM(F125:G125)</f>
        <v>5</v>
      </c>
      <c r="I125" s="97"/>
      <c r="J125" s="97"/>
      <c r="K125" s="97"/>
      <c r="L125" s="97"/>
      <c r="M125" s="97"/>
      <c r="N125" s="35"/>
      <c r="O125" s="36"/>
      <c r="P125" s="87"/>
    </row>
    <row r="126" spans="1:16" ht="24" customHeight="1" x14ac:dyDescent="0.3">
      <c r="A126" s="16"/>
      <c r="B126" s="14" t="s">
        <v>60</v>
      </c>
      <c r="C126" s="15" t="s">
        <v>43</v>
      </c>
      <c r="D126" s="26">
        <v>244.8</v>
      </c>
      <c r="E126" s="101" t="s">
        <v>221</v>
      </c>
      <c r="F126" s="96">
        <f>10%*D126</f>
        <v>24.480000000000004</v>
      </c>
      <c r="G126" s="97">
        <v>0</v>
      </c>
      <c r="H126" s="96">
        <f t="shared" si="21"/>
        <v>24.480000000000004</v>
      </c>
      <c r="I126" s="97">
        <v>0</v>
      </c>
      <c r="J126" s="97">
        <v>10</v>
      </c>
      <c r="K126" s="97">
        <v>0</v>
      </c>
      <c r="L126" s="97">
        <v>5</v>
      </c>
      <c r="M126" s="97">
        <f>SUM(I126:L126)</f>
        <v>15</v>
      </c>
      <c r="N126" s="35"/>
      <c r="O126" s="36"/>
      <c r="P126" s="87"/>
    </row>
    <row r="127" spans="1:16" ht="20.25" customHeight="1" x14ac:dyDescent="0.3">
      <c r="A127" s="16"/>
      <c r="B127" s="14"/>
      <c r="C127" s="15"/>
      <c r="D127" s="26"/>
      <c r="E127" s="101" t="s">
        <v>220</v>
      </c>
      <c r="F127" s="96"/>
      <c r="G127" s="96">
        <f>15%*D126</f>
        <v>36.72</v>
      </c>
      <c r="H127" s="96">
        <f>SUM(F127:G127)</f>
        <v>36.72</v>
      </c>
      <c r="I127" s="97"/>
      <c r="J127" s="97"/>
      <c r="K127" s="97"/>
      <c r="L127" s="97"/>
      <c r="M127" s="97"/>
      <c r="N127" s="35"/>
      <c r="O127" s="36"/>
      <c r="P127" s="87"/>
    </row>
    <row r="128" spans="1:16" ht="23.25" customHeight="1" x14ac:dyDescent="0.3">
      <c r="A128" s="16"/>
      <c r="B128" s="14" t="s">
        <v>61</v>
      </c>
      <c r="C128" s="15" t="s">
        <v>44</v>
      </c>
      <c r="D128" s="26">
        <v>57.95</v>
      </c>
      <c r="E128" s="101" t="s">
        <v>203</v>
      </c>
      <c r="F128" s="26">
        <f>15%*D128</f>
        <v>8.6925000000000008</v>
      </c>
      <c r="G128" s="19">
        <v>0</v>
      </c>
      <c r="H128" s="26">
        <f t="shared" si="21"/>
        <v>8.6925000000000008</v>
      </c>
      <c r="I128" s="19">
        <v>0</v>
      </c>
      <c r="J128" s="19"/>
      <c r="K128" s="19"/>
      <c r="L128" s="19">
        <v>0</v>
      </c>
      <c r="M128" s="19">
        <f t="shared" ref="M128:M131" si="22">SUM(I128:L128)</f>
        <v>0</v>
      </c>
      <c r="N128" s="35"/>
      <c r="O128" s="36"/>
      <c r="P128" s="87"/>
    </row>
    <row r="129" spans="1:16" ht="18.75" customHeight="1" x14ac:dyDescent="0.3">
      <c r="A129" s="16"/>
      <c r="B129" s="14"/>
      <c r="C129" s="15"/>
      <c r="D129" s="26"/>
      <c r="E129" s="101" t="s">
        <v>220</v>
      </c>
      <c r="F129" s="26"/>
      <c r="G129" s="26">
        <f>10%*D128</f>
        <v>5.7950000000000008</v>
      </c>
      <c r="H129" s="26">
        <f>SUM(F129:G129)</f>
        <v>5.7950000000000008</v>
      </c>
      <c r="I129" s="97">
        <v>0</v>
      </c>
      <c r="J129" s="97">
        <v>0</v>
      </c>
      <c r="K129" s="97">
        <v>0</v>
      </c>
      <c r="L129" s="97">
        <v>0</v>
      </c>
      <c r="M129" s="97">
        <f t="shared" si="22"/>
        <v>0</v>
      </c>
      <c r="N129" s="35"/>
      <c r="O129" s="36"/>
      <c r="P129" s="87"/>
    </row>
    <row r="130" spans="1:16" ht="18.75" customHeight="1" x14ac:dyDescent="0.3">
      <c r="A130" s="16"/>
      <c r="B130" s="14" t="s">
        <v>62</v>
      </c>
      <c r="C130" s="15" t="s">
        <v>27</v>
      </c>
      <c r="D130" s="26">
        <v>2.5</v>
      </c>
      <c r="E130" s="101" t="s">
        <v>203</v>
      </c>
      <c r="F130" s="96">
        <f>15%*D130</f>
        <v>0.375</v>
      </c>
      <c r="G130" s="97">
        <v>0</v>
      </c>
      <c r="H130" s="96">
        <f t="shared" si="21"/>
        <v>0.375</v>
      </c>
      <c r="I130" s="97">
        <v>0</v>
      </c>
      <c r="J130" s="97">
        <v>0</v>
      </c>
      <c r="K130" s="97">
        <v>0</v>
      </c>
      <c r="L130" s="97">
        <v>0</v>
      </c>
      <c r="M130" s="97">
        <f t="shared" si="22"/>
        <v>0</v>
      </c>
      <c r="N130" s="35"/>
      <c r="O130" s="36"/>
      <c r="P130" s="87"/>
    </row>
    <row r="131" spans="1:16" ht="18.75" customHeight="1" x14ac:dyDescent="0.3">
      <c r="A131" s="87"/>
      <c r="B131" s="55"/>
      <c r="C131" s="56"/>
      <c r="D131" s="57"/>
      <c r="E131" s="132" t="s">
        <v>220</v>
      </c>
      <c r="F131" s="124">
        <f>12%*D130</f>
        <v>0.3</v>
      </c>
      <c r="G131" s="124">
        <f>15%*D130</f>
        <v>0.375</v>
      </c>
      <c r="H131" s="124">
        <f>SUM(F131:G131)</f>
        <v>0.67500000000000004</v>
      </c>
      <c r="I131" s="133">
        <v>0</v>
      </c>
      <c r="J131" s="133">
        <v>0</v>
      </c>
      <c r="K131" s="133">
        <v>0</v>
      </c>
      <c r="L131" s="133">
        <v>0</v>
      </c>
      <c r="M131" s="133">
        <f t="shared" si="22"/>
        <v>0</v>
      </c>
      <c r="N131" s="80"/>
      <c r="O131" s="81"/>
      <c r="P131" s="87"/>
    </row>
    <row r="132" spans="1:16" ht="18.75" customHeight="1" x14ac:dyDescent="0.3">
      <c r="A132" s="75"/>
      <c r="B132" s="71"/>
      <c r="C132" s="72"/>
      <c r="D132" s="73">
        <f>SUM(D120:D131)</f>
        <v>792.7</v>
      </c>
      <c r="E132" s="74"/>
      <c r="F132" s="73">
        <f>SUM(F113:F131)</f>
        <v>193.55990000000003</v>
      </c>
      <c r="G132" s="83">
        <f>SUM(G113:G131)</f>
        <v>57.89</v>
      </c>
      <c r="H132" s="73">
        <f>SUM(H113:H131)</f>
        <v>251.44990000000001</v>
      </c>
      <c r="I132" s="83">
        <f>SUM(I120:I131)</f>
        <v>0</v>
      </c>
      <c r="J132" s="83">
        <f>SUM(J120:J131)</f>
        <v>15</v>
      </c>
      <c r="K132" s="83">
        <f>SUM(K120:K131)</f>
        <v>0</v>
      </c>
      <c r="L132" s="83">
        <f>SUM(L120:L131)</f>
        <v>17</v>
      </c>
      <c r="M132" s="83">
        <f>SUM(M119:M131)</f>
        <v>32</v>
      </c>
      <c r="N132" s="71"/>
      <c r="O132" s="72"/>
      <c r="P132" s="75"/>
    </row>
    <row r="133" spans="1:16" ht="8.25" customHeight="1" x14ac:dyDescent="0.3">
      <c r="F133" s="2"/>
      <c r="G133" s="2"/>
      <c r="H133" s="2"/>
      <c r="I133" s="2"/>
      <c r="J133" s="2"/>
      <c r="K133" s="2"/>
      <c r="L133" s="2"/>
      <c r="M133" s="2"/>
    </row>
    <row r="134" spans="1:16" ht="14.25" customHeight="1" x14ac:dyDescent="0.3">
      <c r="F134" s="2"/>
      <c r="G134" s="2"/>
      <c r="H134" s="2"/>
      <c r="I134" s="2"/>
      <c r="J134" s="2" t="s">
        <v>238</v>
      </c>
      <c r="K134" s="2"/>
      <c r="L134" s="2"/>
      <c r="M134" s="2"/>
    </row>
    <row r="135" spans="1:16" ht="12" customHeight="1" x14ac:dyDescent="0.3">
      <c r="A135" s="395" t="s">
        <v>80</v>
      </c>
      <c r="B135" s="395"/>
      <c r="C135" s="395"/>
      <c r="D135" s="395"/>
    </row>
    <row r="136" spans="1:16" x14ac:dyDescent="0.3">
      <c r="A136" s="395" t="s">
        <v>81</v>
      </c>
      <c r="B136" s="395"/>
      <c r="C136" s="395"/>
      <c r="D136" s="395"/>
      <c r="J136" s="1" t="s">
        <v>85</v>
      </c>
    </row>
    <row r="137" spans="1:16" x14ac:dyDescent="0.3">
      <c r="A137" s="395" t="s">
        <v>82</v>
      </c>
      <c r="B137" s="395"/>
      <c r="C137" s="395"/>
      <c r="D137" s="395"/>
      <c r="J137" s="3" t="s">
        <v>86</v>
      </c>
      <c r="K137" s="1" t="s">
        <v>87</v>
      </c>
      <c r="O137" s="1" t="s">
        <v>90</v>
      </c>
    </row>
    <row r="138" spans="1:16" x14ac:dyDescent="0.3">
      <c r="A138" s="395" t="s">
        <v>83</v>
      </c>
      <c r="B138" s="395"/>
      <c r="C138" s="395"/>
      <c r="D138" s="395"/>
      <c r="K138" s="1" t="s">
        <v>91</v>
      </c>
    </row>
    <row r="139" spans="1:16" ht="13.5" customHeight="1" x14ac:dyDescent="0.3"/>
    <row r="140" spans="1:16" ht="13.5" customHeight="1" x14ac:dyDescent="0.3"/>
    <row r="141" spans="1:16" x14ac:dyDescent="0.3">
      <c r="A141" s="398" t="s">
        <v>175</v>
      </c>
      <c r="B141" s="398"/>
      <c r="C141" s="398"/>
      <c r="D141" s="398"/>
      <c r="J141" s="3" t="s">
        <v>88</v>
      </c>
      <c r="K141" s="1" t="s">
        <v>89</v>
      </c>
      <c r="O141" s="1" t="s">
        <v>90</v>
      </c>
    </row>
    <row r="142" spans="1:16" x14ac:dyDescent="0.3">
      <c r="A142" s="395" t="s">
        <v>190</v>
      </c>
      <c r="B142" s="395"/>
      <c r="C142" s="395"/>
      <c r="D142" s="395"/>
      <c r="K142" s="1" t="s">
        <v>92</v>
      </c>
    </row>
  </sheetData>
  <mergeCells count="17">
    <mergeCell ref="A142:D142"/>
    <mergeCell ref="O23:O27"/>
    <mergeCell ref="A135:D135"/>
    <mergeCell ref="A136:D136"/>
    <mergeCell ref="A137:D137"/>
    <mergeCell ref="A138:D138"/>
    <mergeCell ref="A141:D141"/>
    <mergeCell ref="A1:P1"/>
    <mergeCell ref="A6:A7"/>
    <mergeCell ref="B6:C6"/>
    <mergeCell ref="D6:D7"/>
    <mergeCell ref="E6:E7"/>
    <mergeCell ref="F6:H6"/>
    <mergeCell ref="I6:M6"/>
    <mergeCell ref="N6:O7"/>
    <mergeCell ref="P6:P7"/>
    <mergeCell ref="B7:C7"/>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P112"/>
  <sheetViews>
    <sheetView view="pageBreakPreview" topLeftCell="A16" zoomScale="96" zoomScaleNormal="100" zoomScaleSheetLayoutView="96" workbookViewId="0">
      <selection activeCell="G26" sqref="G26"/>
    </sheetView>
  </sheetViews>
  <sheetFormatPr defaultColWidth="9.1796875" defaultRowHeight="14" x14ac:dyDescent="0.3"/>
  <cols>
    <col min="1" max="1" width="9" style="1" customWidth="1"/>
    <col min="2" max="2" width="2.1796875" style="1" customWidth="1"/>
    <col min="3" max="3" width="19" style="1" customWidth="1"/>
    <col min="4" max="4" width="11.54296875" style="1" customWidth="1"/>
    <col min="5" max="5" width="27" style="1" customWidth="1"/>
    <col min="6" max="6" width="9" style="1" bestFit="1" customWidth="1"/>
    <col min="7" max="7" width="8.81640625" style="1" customWidth="1"/>
    <col min="8" max="8" width="9" style="1" customWidth="1"/>
    <col min="9" max="9" width="6.453125" style="1" bestFit="1" customWidth="1"/>
    <col min="10" max="10" width="6.81640625" style="1" bestFit="1" customWidth="1"/>
    <col min="11" max="11" width="8.26953125" style="1" customWidth="1"/>
    <col min="12" max="12" width="5.54296875" style="1" bestFit="1" customWidth="1"/>
    <col min="13" max="13" width="6.81640625" style="1" bestFit="1" customWidth="1"/>
    <col min="14" max="14" width="2.1796875" style="1" customWidth="1"/>
    <col min="15" max="15" width="27.81640625" style="1" customWidth="1"/>
    <col min="16" max="16" width="10.26953125" style="1" customWidth="1"/>
    <col min="17" max="16384" width="9.1796875" style="1"/>
  </cols>
  <sheetData>
    <row r="1" spans="1:16" x14ac:dyDescent="0.3">
      <c r="A1" s="385" t="s">
        <v>177</v>
      </c>
      <c r="B1" s="385"/>
      <c r="C1" s="385"/>
      <c r="D1" s="385"/>
      <c r="E1" s="385"/>
      <c r="F1" s="385"/>
      <c r="G1" s="385"/>
      <c r="H1" s="385"/>
      <c r="I1" s="385"/>
      <c r="J1" s="385"/>
      <c r="K1" s="385"/>
      <c r="L1" s="385"/>
      <c r="M1" s="385"/>
      <c r="N1" s="385"/>
      <c r="O1" s="385"/>
      <c r="P1" s="385"/>
    </row>
    <row r="2" spans="1:16" ht="14.25" customHeight="1" x14ac:dyDescent="0.3"/>
    <row r="3" spans="1:16" ht="14.25" customHeight="1" x14ac:dyDescent="0.3">
      <c r="A3" s="1" t="s">
        <v>1</v>
      </c>
      <c r="B3" s="1" t="s">
        <v>78</v>
      </c>
      <c r="C3" s="1" t="s">
        <v>77</v>
      </c>
    </row>
    <row r="4" spans="1:16" ht="14.25" customHeight="1" x14ac:dyDescent="0.3">
      <c r="A4" s="1" t="s">
        <v>2</v>
      </c>
      <c r="B4" s="1" t="s">
        <v>78</v>
      </c>
      <c r="C4" s="4" t="s">
        <v>240</v>
      </c>
    </row>
    <row r="6" spans="1:16" x14ac:dyDescent="0.3">
      <c r="A6" s="386" t="s">
        <v>3</v>
      </c>
      <c r="B6" s="388" t="s">
        <v>4</v>
      </c>
      <c r="C6" s="388"/>
      <c r="D6" s="389" t="s">
        <v>6</v>
      </c>
      <c r="E6" s="391" t="s">
        <v>7</v>
      </c>
      <c r="F6" s="393" t="s">
        <v>170</v>
      </c>
      <c r="G6" s="393"/>
      <c r="H6" s="393"/>
      <c r="I6" s="393" t="s">
        <v>12</v>
      </c>
      <c r="J6" s="393"/>
      <c r="K6" s="393"/>
      <c r="L6" s="393"/>
      <c r="M6" s="393"/>
      <c r="N6" s="391" t="s">
        <v>17</v>
      </c>
      <c r="O6" s="391"/>
      <c r="P6" s="386" t="s">
        <v>192</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ht="18.75" customHeight="1" x14ac:dyDescent="0.3">
      <c r="A9" s="13">
        <v>1</v>
      </c>
      <c r="B9" s="14" t="s">
        <v>20</v>
      </c>
      <c r="C9" s="15"/>
      <c r="D9" s="16"/>
      <c r="E9" s="47"/>
      <c r="F9" s="16"/>
      <c r="G9" s="16"/>
      <c r="H9" s="16"/>
      <c r="I9" s="16"/>
      <c r="J9" s="16"/>
      <c r="K9" s="16"/>
      <c r="L9" s="16"/>
      <c r="M9" s="16"/>
      <c r="N9" s="35"/>
      <c r="O9" s="36"/>
      <c r="P9" s="16"/>
    </row>
    <row r="10" spans="1:16" ht="18.75" customHeight="1" x14ac:dyDescent="0.3">
      <c r="A10" s="13"/>
      <c r="B10" s="17" t="s">
        <v>57</v>
      </c>
      <c r="C10" s="15" t="s">
        <v>21</v>
      </c>
      <c r="D10" s="18">
        <v>409.08</v>
      </c>
      <c r="E10" s="47" t="s">
        <v>36</v>
      </c>
      <c r="F10" s="26">
        <f>7%*D10</f>
        <v>28.6356</v>
      </c>
      <c r="G10" s="26">
        <f>3%*D10</f>
        <v>12.272399999999999</v>
      </c>
      <c r="H10" s="26">
        <f>SUM(F10:G10)</f>
        <v>40.908000000000001</v>
      </c>
      <c r="I10" s="19">
        <v>0</v>
      </c>
      <c r="J10" s="19">
        <v>3</v>
      </c>
      <c r="K10" s="19">
        <v>4</v>
      </c>
      <c r="L10" s="19"/>
      <c r="M10" s="20">
        <f>SUM(I10:L10)</f>
        <v>7</v>
      </c>
      <c r="N10" s="37"/>
      <c r="O10" s="36"/>
      <c r="P10" s="16"/>
    </row>
    <row r="11" spans="1:16" ht="18.75" customHeight="1" x14ac:dyDescent="0.3">
      <c r="A11" s="13"/>
      <c r="B11" s="14"/>
      <c r="C11" s="15"/>
      <c r="D11" s="18"/>
      <c r="E11" s="47" t="s">
        <v>37</v>
      </c>
      <c r="F11" s="26">
        <f>11%*D10</f>
        <v>44.998799999999996</v>
      </c>
      <c r="G11" s="26">
        <f>5%*D10</f>
        <v>20.454000000000001</v>
      </c>
      <c r="H11" s="26">
        <f>SUM(F11:G11)</f>
        <v>65.452799999999996</v>
      </c>
      <c r="I11" s="19">
        <v>0</v>
      </c>
      <c r="J11" s="19">
        <v>3</v>
      </c>
      <c r="K11" s="19">
        <v>4</v>
      </c>
      <c r="L11" s="19">
        <v>0</v>
      </c>
      <c r="M11" s="20">
        <f t="shared" ref="M11:M20" si="0">SUM(I11:L11)</f>
        <v>7</v>
      </c>
      <c r="N11" s="37" t="s">
        <v>51</v>
      </c>
      <c r="O11" s="38" t="s">
        <v>50</v>
      </c>
      <c r="P11" s="16"/>
    </row>
    <row r="12" spans="1:16" ht="18.75" customHeight="1" x14ac:dyDescent="0.3">
      <c r="A12" s="13"/>
      <c r="B12" s="14"/>
      <c r="C12" s="15"/>
      <c r="D12" s="18"/>
      <c r="E12" s="47" t="s">
        <v>38</v>
      </c>
      <c r="F12" s="26">
        <f>12%*D10</f>
        <v>49.089599999999997</v>
      </c>
      <c r="G12" s="26">
        <f>7%*D10</f>
        <v>28.6356</v>
      </c>
      <c r="H12" s="26">
        <f>SUM(F12:G12)</f>
        <v>77.725200000000001</v>
      </c>
      <c r="I12" s="19">
        <v>0</v>
      </c>
      <c r="J12" s="19">
        <v>3</v>
      </c>
      <c r="K12" s="19">
        <v>4</v>
      </c>
      <c r="L12" s="19">
        <v>0</v>
      </c>
      <c r="M12" s="20">
        <f t="shared" si="0"/>
        <v>7</v>
      </c>
      <c r="N12" s="37" t="s">
        <v>51</v>
      </c>
      <c r="O12" s="36" t="s">
        <v>49</v>
      </c>
      <c r="P12" s="16"/>
    </row>
    <row r="13" spans="1:16" ht="28.5" customHeight="1" x14ac:dyDescent="0.3">
      <c r="A13" s="13"/>
      <c r="B13" s="14"/>
      <c r="C13" s="15"/>
      <c r="D13" s="18"/>
      <c r="E13" s="48" t="s">
        <v>39</v>
      </c>
      <c r="F13" s="26">
        <f>40%*D10</f>
        <v>163.63200000000001</v>
      </c>
      <c r="G13" s="26">
        <f>4%*D10</f>
        <v>16.363199999999999</v>
      </c>
      <c r="H13" s="26">
        <f>SUM(F13:G13)</f>
        <v>179.99520000000001</v>
      </c>
      <c r="I13" s="22">
        <v>0</v>
      </c>
      <c r="J13" s="22">
        <v>0</v>
      </c>
      <c r="K13" s="22">
        <v>0</v>
      </c>
      <c r="L13" s="22">
        <v>0</v>
      </c>
      <c r="M13" s="23">
        <f t="shared" si="0"/>
        <v>0</v>
      </c>
      <c r="N13" s="39" t="s">
        <v>51</v>
      </c>
      <c r="O13" s="40" t="s">
        <v>48</v>
      </c>
      <c r="P13" s="16"/>
    </row>
    <row r="14" spans="1:16" ht="18.75" customHeight="1" x14ac:dyDescent="0.3">
      <c r="A14" s="13"/>
      <c r="B14" s="17" t="s">
        <v>58</v>
      </c>
      <c r="C14" s="15" t="s">
        <v>22</v>
      </c>
      <c r="D14" s="18">
        <v>728.56</v>
      </c>
      <c r="E14" s="47" t="s">
        <v>36</v>
      </c>
      <c r="F14" s="26">
        <f>4%*D14</f>
        <v>29.142399999999999</v>
      </c>
      <c r="G14" s="26">
        <f>5%*D14</f>
        <v>36.427999999999997</v>
      </c>
      <c r="H14" s="26">
        <f>SUM(F14:G14)</f>
        <v>65.570399999999992</v>
      </c>
      <c r="I14" s="19">
        <v>0</v>
      </c>
      <c r="J14" s="19">
        <v>2</v>
      </c>
      <c r="K14" s="19">
        <v>5</v>
      </c>
      <c r="L14" s="19">
        <v>0</v>
      </c>
      <c r="M14" s="20">
        <f t="shared" si="0"/>
        <v>7</v>
      </c>
      <c r="N14" s="35"/>
      <c r="O14" s="41"/>
      <c r="P14" s="16"/>
    </row>
    <row r="15" spans="1:16" ht="18.75" customHeight="1" x14ac:dyDescent="0.3">
      <c r="A15" s="13"/>
      <c r="B15" s="14"/>
      <c r="C15" s="15"/>
      <c r="D15" s="26"/>
      <c r="E15" s="47" t="s">
        <v>37</v>
      </c>
      <c r="F15" s="26">
        <f>5%*D14</f>
        <v>36.427999999999997</v>
      </c>
      <c r="G15" s="26">
        <f>5%*D14</f>
        <v>36.427999999999997</v>
      </c>
      <c r="H15" s="26">
        <f t="shared" ref="H15:H17" si="1">SUM(F15:G15)</f>
        <v>72.855999999999995</v>
      </c>
      <c r="I15" s="19">
        <v>0</v>
      </c>
      <c r="J15" s="19">
        <v>2</v>
      </c>
      <c r="K15" s="19">
        <v>5</v>
      </c>
      <c r="L15" s="19">
        <v>0</v>
      </c>
      <c r="M15" s="20">
        <f t="shared" si="0"/>
        <v>7</v>
      </c>
      <c r="N15" s="35"/>
      <c r="O15" s="36"/>
      <c r="P15" s="16"/>
    </row>
    <row r="16" spans="1:16" ht="18.75" customHeight="1" x14ac:dyDescent="0.3">
      <c r="A16" s="13"/>
      <c r="B16" s="14"/>
      <c r="C16" s="15"/>
      <c r="D16" s="26"/>
      <c r="E16" s="47" t="s">
        <v>38</v>
      </c>
      <c r="F16" s="26">
        <f>5%*D14</f>
        <v>36.427999999999997</v>
      </c>
      <c r="G16" s="26">
        <f>10%*D14</f>
        <v>72.855999999999995</v>
      </c>
      <c r="H16" s="26">
        <f t="shared" si="1"/>
        <v>109.28399999999999</v>
      </c>
      <c r="I16" s="19">
        <v>0</v>
      </c>
      <c r="J16" s="19">
        <v>2</v>
      </c>
      <c r="K16" s="19">
        <v>5</v>
      </c>
      <c r="L16" s="19">
        <v>0</v>
      </c>
      <c r="M16" s="20">
        <f t="shared" si="0"/>
        <v>7</v>
      </c>
      <c r="N16" s="35"/>
      <c r="O16" s="36"/>
      <c r="P16" s="16"/>
    </row>
    <row r="17" spans="1:16" ht="29.25" customHeight="1" x14ac:dyDescent="0.3">
      <c r="A17" s="54"/>
      <c r="B17" s="55"/>
      <c r="C17" s="56"/>
      <c r="D17" s="57"/>
      <c r="E17" s="58" t="s">
        <v>39</v>
      </c>
      <c r="F17" s="119">
        <f>7%*D14</f>
        <v>50.999200000000002</v>
      </c>
      <c r="G17" s="119">
        <f>12%*D14</f>
        <v>87.427199999999985</v>
      </c>
      <c r="H17" s="119">
        <f t="shared" si="1"/>
        <v>138.4264</v>
      </c>
      <c r="I17" s="59">
        <v>0</v>
      </c>
      <c r="J17" s="59">
        <v>0</v>
      </c>
      <c r="K17" s="59">
        <v>0</v>
      </c>
      <c r="L17" s="59">
        <v>0</v>
      </c>
      <c r="M17" s="60">
        <f t="shared" si="0"/>
        <v>0</v>
      </c>
      <c r="N17" s="61"/>
      <c r="O17" s="62"/>
      <c r="P17" s="88"/>
    </row>
    <row r="18" spans="1:16" ht="18.75" customHeight="1" x14ac:dyDescent="0.3">
      <c r="A18" s="13"/>
      <c r="B18" s="17" t="s">
        <v>58</v>
      </c>
      <c r="C18" s="15" t="s">
        <v>27</v>
      </c>
      <c r="D18" s="18">
        <v>88.7</v>
      </c>
      <c r="E18" s="47" t="s">
        <v>36</v>
      </c>
      <c r="F18" s="26">
        <f>8%*D18</f>
        <v>7.0960000000000001</v>
      </c>
      <c r="G18" s="26">
        <f>8%*D18</f>
        <v>7.0960000000000001</v>
      </c>
      <c r="H18" s="26">
        <f>SUM(F18:G18)</f>
        <v>14.192</v>
      </c>
      <c r="I18" s="19">
        <v>0</v>
      </c>
      <c r="J18" s="19"/>
      <c r="K18" s="19">
        <v>4</v>
      </c>
      <c r="L18" s="19">
        <v>0</v>
      </c>
      <c r="M18" s="20">
        <f t="shared" si="0"/>
        <v>4</v>
      </c>
      <c r="N18" s="35"/>
      <c r="O18" s="41"/>
      <c r="P18" s="144"/>
    </row>
    <row r="19" spans="1:16" ht="18.75" customHeight="1" x14ac:dyDescent="0.3">
      <c r="A19" s="13"/>
      <c r="B19" s="14"/>
      <c r="C19" s="15"/>
      <c r="D19" s="26"/>
      <c r="E19" s="47" t="s">
        <v>37</v>
      </c>
      <c r="F19" s="26">
        <f>5%*D18</f>
        <v>4.4350000000000005</v>
      </c>
      <c r="G19" s="26">
        <f>5%*D18</f>
        <v>4.4350000000000005</v>
      </c>
      <c r="H19" s="26">
        <f t="shared" ref="H19:H20" si="2">SUM(F19:G19)</f>
        <v>8.870000000000001</v>
      </c>
      <c r="I19" s="19">
        <v>0</v>
      </c>
      <c r="J19" s="19"/>
      <c r="K19" s="19">
        <v>4</v>
      </c>
      <c r="L19" s="19">
        <v>0</v>
      </c>
      <c r="M19" s="20">
        <f t="shared" si="0"/>
        <v>4</v>
      </c>
      <c r="N19" s="35"/>
      <c r="O19" s="36"/>
      <c r="P19" s="144"/>
    </row>
    <row r="20" spans="1:16" ht="18.75" customHeight="1" x14ac:dyDescent="0.3">
      <c r="A20" s="13"/>
      <c r="B20" s="14"/>
      <c r="C20" s="15"/>
      <c r="D20" s="26"/>
      <c r="E20" s="47" t="s">
        <v>38</v>
      </c>
      <c r="F20" s="26">
        <f>9%*D18</f>
        <v>7.9829999999999997</v>
      </c>
      <c r="G20" s="26">
        <f>95%*D18</f>
        <v>84.265000000000001</v>
      </c>
      <c r="H20" s="26">
        <f t="shared" si="2"/>
        <v>92.248000000000005</v>
      </c>
      <c r="I20" s="19">
        <v>0</v>
      </c>
      <c r="J20" s="19"/>
      <c r="K20" s="19">
        <v>4</v>
      </c>
      <c r="L20" s="19">
        <v>0</v>
      </c>
      <c r="M20" s="20">
        <f t="shared" si="0"/>
        <v>4</v>
      </c>
      <c r="N20" s="35"/>
      <c r="O20" s="36"/>
      <c r="P20" s="144"/>
    </row>
    <row r="21" spans="1:16" ht="18.75" customHeight="1" x14ac:dyDescent="0.3">
      <c r="A21" s="89"/>
      <c r="B21" s="71"/>
      <c r="C21" s="72"/>
      <c r="D21" s="73">
        <f>SUM(D9:D17)</f>
        <v>1137.6399999999999</v>
      </c>
      <c r="E21" s="74"/>
      <c r="F21" s="118">
        <f>SUM(F9:F17)</f>
        <v>439.35360000000003</v>
      </c>
      <c r="G21" s="118">
        <f>SUM(G9:G17)</f>
        <v>310.86439999999999</v>
      </c>
      <c r="H21" s="118">
        <f>SUM(H9:H17)</f>
        <v>750.21800000000007</v>
      </c>
      <c r="I21" s="75">
        <f>SUM(I9:I17)</f>
        <v>0</v>
      </c>
      <c r="J21" s="75">
        <f>SUM(J9:J17)</f>
        <v>15</v>
      </c>
      <c r="K21" s="75">
        <f>SUM(K8:K20)</f>
        <v>39</v>
      </c>
      <c r="L21" s="75"/>
      <c r="M21" s="75">
        <f>SUM(M9:M17)</f>
        <v>42</v>
      </c>
      <c r="N21" s="76"/>
      <c r="O21" s="77"/>
      <c r="P21" s="75"/>
    </row>
    <row r="22" spans="1:16" ht="18.75" customHeight="1" x14ac:dyDescent="0.3">
      <c r="A22" s="63">
        <v>2</v>
      </c>
      <c r="B22" s="64" t="s">
        <v>23</v>
      </c>
      <c r="C22" s="65"/>
      <c r="D22" s="66"/>
      <c r="E22" s="67"/>
      <c r="F22" s="68"/>
      <c r="G22" s="68"/>
      <c r="H22" s="68"/>
      <c r="I22" s="68"/>
      <c r="J22" s="68"/>
      <c r="K22" s="68"/>
      <c r="L22" s="68"/>
      <c r="M22" s="68"/>
      <c r="N22" s="69"/>
      <c r="O22" s="70"/>
      <c r="P22" s="68"/>
    </row>
    <row r="23" spans="1:16" ht="18.75" customHeight="1" x14ac:dyDescent="0.3">
      <c r="A23" s="13"/>
      <c r="B23" s="14" t="s">
        <v>57</v>
      </c>
      <c r="C23" s="15" t="s">
        <v>22</v>
      </c>
      <c r="D23" s="26">
        <v>198</v>
      </c>
      <c r="E23" s="47" t="s">
        <v>40</v>
      </c>
      <c r="F23" s="19">
        <v>0</v>
      </c>
      <c r="G23" s="19">
        <f>10%*D23</f>
        <v>19.8</v>
      </c>
      <c r="H23" s="19">
        <f t="shared" ref="H23" si="3">SUM(F23:G23)</f>
        <v>19.8</v>
      </c>
      <c r="I23" s="19">
        <v>0</v>
      </c>
      <c r="J23" s="19">
        <v>0</v>
      </c>
      <c r="K23" s="19">
        <v>5</v>
      </c>
      <c r="L23" s="19">
        <v>0</v>
      </c>
      <c r="M23" s="20">
        <f t="shared" ref="M23" si="4">SUM(I23:L23)</f>
        <v>5</v>
      </c>
      <c r="N23" s="37" t="s">
        <v>51</v>
      </c>
      <c r="O23" s="399" t="s">
        <v>228</v>
      </c>
      <c r="P23" s="16"/>
    </row>
    <row r="24" spans="1:16" ht="18.75" customHeight="1" x14ac:dyDescent="0.3">
      <c r="A24" s="54"/>
      <c r="B24" s="55"/>
      <c r="C24" s="56"/>
      <c r="D24" s="57"/>
      <c r="E24" s="85"/>
      <c r="F24" s="79"/>
      <c r="G24" s="79"/>
      <c r="H24" s="79"/>
      <c r="I24" s="79"/>
      <c r="J24" s="79"/>
      <c r="K24" s="79"/>
      <c r="L24" s="79"/>
      <c r="M24" s="86"/>
      <c r="N24" s="95"/>
      <c r="O24" s="401"/>
      <c r="P24" s="87"/>
    </row>
    <row r="25" spans="1:16" ht="18.75" customHeight="1" x14ac:dyDescent="0.3">
      <c r="A25" s="54"/>
      <c r="B25" s="55" t="s">
        <v>58</v>
      </c>
      <c r="C25" s="56" t="s">
        <v>42</v>
      </c>
      <c r="D25" s="57">
        <v>55</v>
      </c>
      <c r="E25" s="47" t="s">
        <v>40</v>
      </c>
      <c r="F25" s="19">
        <v>0</v>
      </c>
      <c r="G25" s="19">
        <f>11%*D25</f>
        <v>6.05</v>
      </c>
      <c r="H25" s="19">
        <f t="shared" ref="H25" si="5">SUM(F25:G25)</f>
        <v>6.05</v>
      </c>
      <c r="I25" s="19">
        <v>0</v>
      </c>
      <c r="J25" s="19">
        <v>5</v>
      </c>
      <c r="K25" s="19">
        <v>10</v>
      </c>
      <c r="L25" s="19">
        <v>0</v>
      </c>
      <c r="M25" s="20">
        <f t="shared" ref="M25" si="6">SUM(I25:L25)</f>
        <v>15</v>
      </c>
      <c r="N25" s="95"/>
      <c r="O25" s="401"/>
      <c r="P25" s="87"/>
    </row>
    <row r="26" spans="1:16" ht="18.75" customHeight="1" x14ac:dyDescent="0.3">
      <c r="A26" s="54"/>
      <c r="B26" s="55"/>
      <c r="C26" s="56"/>
      <c r="D26" s="57"/>
      <c r="E26" s="85"/>
      <c r="F26" s="79"/>
      <c r="G26" s="79"/>
      <c r="H26" s="79"/>
      <c r="I26" s="79"/>
      <c r="J26" s="79"/>
      <c r="K26" s="79"/>
      <c r="L26" s="79"/>
      <c r="M26" s="86"/>
      <c r="N26" s="95"/>
      <c r="O26" s="401"/>
      <c r="P26" s="87"/>
    </row>
    <row r="27" spans="1:16" ht="18.75" customHeight="1" x14ac:dyDescent="0.3">
      <c r="A27" s="54"/>
      <c r="B27" s="55" t="s">
        <v>59</v>
      </c>
      <c r="C27" s="56" t="s">
        <v>21</v>
      </c>
      <c r="D27" s="57">
        <v>66.94</v>
      </c>
      <c r="E27" s="47" t="s">
        <v>40</v>
      </c>
      <c r="F27" s="19">
        <v>0</v>
      </c>
      <c r="G27" s="19">
        <f>10%*D27</f>
        <v>6.694</v>
      </c>
      <c r="H27" s="19">
        <f t="shared" ref="H27" si="7">SUM(F27:G27)</f>
        <v>6.694</v>
      </c>
      <c r="I27" s="19">
        <v>0</v>
      </c>
      <c r="J27" s="19">
        <v>0</v>
      </c>
      <c r="K27" s="19">
        <v>5</v>
      </c>
      <c r="L27" s="19">
        <v>0</v>
      </c>
      <c r="M27" s="20">
        <f t="shared" ref="M27" si="8">SUM(I27:L27)</f>
        <v>5</v>
      </c>
      <c r="N27" s="95"/>
      <c r="O27" s="401"/>
      <c r="P27" s="87"/>
    </row>
    <row r="28" spans="1:16" ht="18.75" customHeight="1" x14ac:dyDescent="0.3">
      <c r="A28" s="89"/>
      <c r="B28" s="71"/>
      <c r="C28" s="72"/>
      <c r="D28" s="73">
        <f>SUM(D22:D27)</f>
        <v>319.94</v>
      </c>
      <c r="E28" s="74"/>
      <c r="F28" s="83">
        <f t="shared" ref="F28:K28" si="9">SUM(F22:F27)</f>
        <v>0</v>
      </c>
      <c r="G28" s="83">
        <f t="shared" si="9"/>
        <v>32.544000000000004</v>
      </c>
      <c r="H28" s="83">
        <f t="shared" si="9"/>
        <v>32.544000000000004</v>
      </c>
      <c r="I28" s="83">
        <f t="shared" si="9"/>
        <v>0</v>
      </c>
      <c r="J28" s="83">
        <f t="shared" si="9"/>
        <v>5</v>
      </c>
      <c r="K28" s="83">
        <f t="shared" si="9"/>
        <v>20</v>
      </c>
      <c r="L28" s="83"/>
      <c r="M28" s="83">
        <f>SUM(M22:M27)</f>
        <v>25</v>
      </c>
      <c r="N28" s="76"/>
      <c r="O28" s="77"/>
      <c r="P28" s="75"/>
    </row>
    <row r="29" spans="1:16" ht="18.75" customHeight="1" x14ac:dyDescent="0.3">
      <c r="A29" s="63">
        <v>3</v>
      </c>
      <c r="B29" s="64" t="s">
        <v>19</v>
      </c>
      <c r="C29" s="65"/>
      <c r="D29" s="66"/>
      <c r="E29" s="67"/>
      <c r="F29" s="82"/>
      <c r="G29" s="82"/>
      <c r="H29" s="82"/>
      <c r="I29" s="82"/>
      <c r="J29" s="82"/>
      <c r="K29" s="82"/>
      <c r="L29" s="82"/>
      <c r="M29" s="82"/>
      <c r="N29" s="69"/>
      <c r="O29" s="70"/>
      <c r="P29" s="68"/>
    </row>
    <row r="30" spans="1:16" ht="18.75" customHeight="1" x14ac:dyDescent="0.3">
      <c r="A30" s="13"/>
      <c r="B30" s="14" t="s">
        <v>57</v>
      </c>
      <c r="C30" s="15" t="s">
        <v>24</v>
      </c>
      <c r="D30" s="26">
        <f>1372.4+494</f>
        <v>1866.4</v>
      </c>
      <c r="E30" s="50" t="s">
        <v>52</v>
      </c>
      <c r="F30" s="19">
        <v>0</v>
      </c>
      <c r="G30" s="26">
        <f>35%*D30</f>
        <v>653.24</v>
      </c>
      <c r="H30" s="26">
        <f>SUM(F30:G30)</f>
        <v>653.24</v>
      </c>
      <c r="I30" s="19">
        <v>0</v>
      </c>
      <c r="J30" s="19">
        <v>10</v>
      </c>
      <c r="K30" s="19">
        <v>2</v>
      </c>
      <c r="L30" s="19">
        <v>0</v>
      </c>
      <c r="M30" s="19">
        <f>SUM(I30:L30)</f>
        <v>12</v>
      </c>
      <c r="N30" s="35"/>
      <c r="O30" s="43" t="s">
        <v>242</v>
      </c>
      <c r="P30" s="16"/>
    </row>
    <row r="31" spans="1:16" ht="18.75" customHeight="1" x14ac:dyDescent="0.3">
      <c r="A31" s="13"/>
      <c r="B31" s="14"/>
      <c r="C31" s="15"/>
      <c r="D31" s="26"/>
      <c r="E31" s="47" t="s">
        <v>234</v>
      </c>
      <c r="F31" s="26"/>
      <c r="G31" s="26">
        <f>25%*D30</f>
        <v>466.6</v>
      </c>
      <c r="H31" s="26">
        <f>F31+G31</f>
        <v>466.6</v>
      </c>
      <c r="I31" s="19"/>
      <c r="J31" s="19"/>
      <c r="K31" s="19"/>
      <c r="L31" s="19"/>
      <c r="M31" s="19"/>
      <c r="N31" s="35"/>
      <c r="O31" s="43" t="s">
        <v>226</v>
      </c>
      <c r="P31" s="16"/>
    </row>
    <row r="32" spans="1:16" ht="18.75" customHeight="1" x14ac:dyDescent="0.3">
      <c r="A32" s="13"/>
      <c r="B32" s="14" t="s">
        <v>58</v>
      </c>
      <c r="C32" s="15" t="s">
        <v>25</v>
      </c>
      <c r="D32" s="26">
        <f>994.7+363.2</f>
        <v>1357.9</v>
      </c>
      <c r="E32" s="50" t="s">
        <v>52</v>
      </c>
      <c r="F32" s="19">
        <v>0</v>
      </c>
      <c r="G32" s="26">
        <f>25%*D32</f>
        <v>339.47500000000002</v>
      </c>
      <c r="H32" s="26">
        <f t="shared" ref="H32:H58" si="10">SUM(F32:G32)</f>
        <v>339.47500000000002</v>
      </c>
      <c r="I32" s="19">
        <v>0</v>
      </c>
      <c r="J32" s="19">
        <v>6</v>
      </c>
      <c r="K32" s="19">
        <v>6</v>
      </c>
      <c r="L32" s="19">
        <v>0</v>
      </c>
      <c r="M32" s="19">
        <f t="shared" ref="M32:M59" si="11">SUM(I32:L32)</f>
        <v>12</v>
      </c>
      <c r="N32" s="35"/>
      <c r="O32" s="43" t="s">
        <v>243</v>
      </c>
      <c r="P32" s="16"/>
    </row>
    <row r="33" spans="1:16" ht="18.75" customHeight="1" x14ac:dyDescent="0.3">
      <c r="A33" s="13"/>
      <c r="B33" s="14" t="s">
        <v>59</v>
      </c>
      <c r="C33" s="15" t="s">
        <v>26</v>
      </c>
      <c r="D33" s="26">
        <f>976.5+338</f>
        <v>1314.5</v>
      </c>
      <c r="E33" s="50" t="s">
        <v>52</v>
      </c>
      <c r="F33" s="19">
        <v>0</v>
      </c>
      <c r="G33" s="26">
        <f>35%*D33</f>
        <v>460.07499999999999</v>
      </c>
      <c r="H33" s="26">
        <f t="shared" si="10"/>
        <v>460.07499999999999</v>
      </c>
      <c r="I33" s="19">
        <v>20</v>
      </c>
      <c r="J33" s="19">
        <v>4</v>
      </c>
      <c r="K33" s="19">
        <v>0</v>
      </c>
      <c r="L33" s="19">
        <v>0</v>
      </c>
      <c r="M33" s="19">
        <f t="shared" si="11"/>
        <v>24</v>
      </c>
      <c r="N33" s="35"/>
      <c r="O33" s="43" t="s">
        <v>244</v>
      </c>
      <c r="P33" s="16"/>
    </row>
    <row r="34" spans="1:16" ht="18.75" customHeight="1" x14ac:dyDescent="0.3">
      <c r="A34" s="13"/>
      <c r="B34" s="14" t="s">
        <v>60</v>
      </c>
      <c r="C34" s="15" t="s">
        <v>55</v>
      </c>
      <c r="D34" s="26">
        <f>291.6+46.93</f>
        <v>338.53000000000003</v>
      </c>
      <c r="E34" s="50" t="s">
        <v>52</v>
      </c>
      <c r="F34" s="19">
        <v>0</v>
      </c>
      <c r="G34" s="26">
        <f>35%*D34</f>
        <v>118.4855</v>
      </c>
      <c r="H34" s="26">
        <f t="shared" si="10"/>
        <v>118.4855</v>
      </c>
      <c r="I34" s="19">
        <v>0</v>
      </c>
      <c r="J34" s="19">
        <v>0</v>
      </c>
      <c r="K34" s="19">
        <v>0</v>
      </c>
      <c r="L34" s="19">
        <v>0</v>
      </c>
      <c r="M34" s="19">
        <f t="shared" si="11"/>
        <v>0</v>
      </c>
      <c r="N34" s="35"/>
      <c r="O34" s="43" t="s">
        <v>224</v>
      </c>
      <c r="P34" s="16"/>
    </row>
    <row r="35" spans="1:16" ht="18.75" customHeight="1" x14ac:dyDescent="0.3">
      <c r="A35" s="13"/>
      <c r="B35" s="14"/>
      <c r="C35" s="15"/>
      <c r="D35" s="26"/>
      <c r="E35" s="47" t="s">
        <v>235</v>
      </c>
      <c r="F35" s="26">
        <f>10%*D34</f>
        <v>33.853000000000002</v>
      </c>
      <c r="G35" s="26">
        <f>25%*D34</f>
        <v>84.632500000000007</v>
      </c>
      <c r="H35" s="26">
        <f>SUM(F35:G35)</f>
        <v>118.4855</v>
      </c>
      <c r="I35" s="19"/>
      <c r="J35" s="19"/>
      <c r="K35" s="19">
        <v>5</v>
      </c>
      <c r="L35" s="19"/>
      <c r="M35" s="19">
        <f>SUM(I35:L35)</f>
        <v>5</v>
      </c>
      <c r="N35" s="35"/>
      <c r="O35" s="43" t="s">
        <v>227</v>
      </c>
      <c r="P35" s="16"/>
    </row>
    <row r="36" spans="1:16" ht="18.75" customHeight="1" x14ac:dyDescent="0.3">
      <c r="A36" s="13"/>
      <c r="B36" s="14"/>
      <c r="C36" s="15"/>
      <c r="D36" s="26"/>
      <c r="E36" s="47" t="s">
        <v>234</v>
      </c>
      <c r="F36" s="26"/>
      <c r="G36" s="26">
        <f>25%*D34</f>
        <v>84.632500000000007</v>
      </c>
      <c r="H36" s="26">
        <f>F36+G36</f>
        <v>84.632500000000007</v>
      </c>
      <c r="I36" s="19"/>
      <c r="J36" s="19"/>
      <c r="K36" s="19"/>
      <c r="L36" s="19"/>
      <c r="M36" s="19"/>
      <c r="N36" s="35"/>
      <c r="O36" s="43" t="s">
        <v>153</v>
      </c>
      <c r="P36" s="16"/>
    </row>
    <row r="37" spans="1:16" ht="18.75" customHeight="1" x14ac:dyDescent="0.3">
      <c r="A37" s="13"/>
      <c r="B37" s="14" t="s">
        <v>61</v>
      </c>
      <c r="C37" s="15" t="s">
        <v>27</v>
      </c>
      <c r="D37" s="26">
        <f>831.5+161.25</f>
        <v>992.75</v>
      </c>
      <c r="E37" s="50" t="s">
        <v>52</v>
      </c>
      <c r="F37" s="19">
        <v>0</v>
      </c>
      <c r="G37" s="26">
        <f>25%*D37</f>
        <v>248.1875</v>
      </c>
      <c r="H37" s="26">
        <f t="shared" si="10"/>
        <v>248.1875</v>
      </c>
      <c r="I37" s="19">
        <v>0</v>
      </c>
      <c r="J37" s="19">
        <v>0</v>
      </c>
      <c r="K37" s="19">
        <v>0</v>
      </c>
      <c r="L37" s="19">
        <v>0</v>
      </c>
      <c r="M37" s="19">
        <f t="shared" si="11"/>
        <v>0</v>
      </c>
      <c r="N37" s="35"/>
      <c r="O37" s="43" t="s">
        <v>154</v>
      </c>
      <c r="P37" s="16"/>
    </row>
    <row r="38" spans="1:16" ht="18.75" customHeight="1" x14ac:dyDescent="0.3">
      <c r="A38" s="13"/>
      <c r="B38" s="14" t="s">
        <v>62</v>
      </c>
      <c r="C38" s="15" t="s">
        <v>28</v>
      </c>
      <c r="D38" s="26">
        <f>868+618.6</f>
        <v>1486.6</v>
      </c>
      <c r="E38" s="50" t="s">
        <v>52</v>
      </c>
      <c r="F38" s="19">
        <v>0</v>
      </c>
      <c r="G38" s="26">
        <f>25%*D38</f>
        <v>371.65</v>
      </c>
      <c r="H38" s="26">
        <f t="shared" si="10"/>
        <v>371.65</v>
      </c>
      <c r="I38" s="19">
        <v>0</v>
      </c>
      <c r="J38" s="19">
        <v>0</v>
      </c>
      <c r="K38" s="19">
        <v>0</v>
      </c>
      <c r="L38" s="19">
        <v>0</v>
      </c>
      <c r="M38" s="19">
        <f t="shared" si="11"/>
        <v>0</v>
      </c>
      <c r="N38" s="35"/>
      <c r="O38" s="43"/>
      <c r="P38" s="16"/>
    </row>
    <row r="39" spans="1:16" ht="18.75" customHeight="1" x14ac:dyDescent="0.3">
      <c r="A39" s="13"/>
      <c r="B39" s="14" t="s">
        <v>63</v>
      </c>
      <c r="C39" s="15" t="s">
        <v>29</v>
      </c>
      <c r="D39" s="26">
        <f>1546+278.5</f>
        <v>1824.5</v>
      </c>
      <c r="E39" s="50" t="s">
        <v>52</v>
      </c>
      <c r="F39" s="19">
        <v>0</v>
      </c>
      <c r="G39" s="26">
        <f>26%*D39</f>
        <v>474.37</v>
      </c>
      <c r="H39" s="26">
        <f t="shared" si="10"/>
        <v>474.37</v>
      </c>
      <c r="I39" s="19">
        <v>0</v>
      </c>
      <c r="J39" s="19">
        <v>0</v>
      </c>
      <c r="K39" s="19">
        <v>0</v>
      </c>
      <c r="L39" s="19">
        <v>0</v>
      </c>
      <c r="M39" s="19">
        <f t="shared" si="11"/>
        <v>0</v>
      </c>
      <c r="N39" s="35"/>
      <c r="O39" s="43"/>
      <c r="P39" s="16"/>
    </row>
    <row r="40" spans="1:16" ht="18.75" customHeight="1" x14ac:dyDescent="0.3">
      <c r="A40" s="13"/>
      <c r="B40" s="14" t="s">
        <v>64</v>
      </c>
      <c r="C40" s="15" t="s">
        <v>56</v>
      </c>
      <c r="D40" s="26">
        <f>156.4+34.9</f>
        <v>191.3</v>
      </c>
      <c r="E40" s="50" t="s">
        <v>52</v>
      </c>
      <c r="F40" s="19">
        <v>0</v>
      </c>
      <c r="G40" s="26">
        <f>27%*D40</f>
        <v>51.651000000000003</v>
      </c>
      <c r="H40" s="26">
        <f t="shared" si="10"/>
        <v>51.651000000000003</v>
      </c>
      <c r="I40" s="19">
        <v>0</v>
      </c>
      <c r="J40" s="19">
        <v>5</v>
      </c>
      <c r="K40" s="19">
        <v>5</v>
      </c>
      <c r="L40" s="19">
        <v>0</v>
      </c>
      <c r="M40" s="19">
        <f t="shared" si="11"/>
        <v>10</v>
      </c>
      <c r="N40" s="35"/>
      <c r="O40" s="43"/>
      <c r="P40" s="16"/>
    </row>
    <row r="41" spans="1:16" ht="18.75" customHeight="1" x14ac:dyDescent="0.3">
      <c r="A41" s="13"/>
      <c r="B41" s="14" t="s">
        <v>65</v>
      </c>
      <c r="C41" s="15" t="s">
        <v>30</v>
      </c>
      <c r="D41" s="26">
        <f>1499.7+565.1</f>
        <v>2064.8000000000002</v>
      </c>
      <c r="E41" s="50" t="s">
        <v>52</v>
      </c>
      <c r="F41" s="19">
        <v>0</v>
      </c>
      <c r="G41" s="26">
        <f>18%*D41</f>
        <v>371.66400000000004</v>
      </c>
      <c r="H41" s="26">
        <f t="shared" si="10"/>
        <v>371.66400000000004</v>
      </c>
      <c r="I41" s="19">
        <v>0</v>
      </c>
      <c r="J41" s="19">
        <v>0</v>
      </c>
      <c r="K41" s="19">
        <v>0</v>
      </c>
      <c r="L41" s="19">
        <v>0</v>
      </c>
      <c r="M41" s="19">
        <f t="shared" si="11"/>
        <v>0</v>
      </c>
      <c r="N41" s="35"/>
      <c r="O41" s="43"/>
      <c r="P41" s="16"/>
    </row>
    <row r="42" spans="1:16" ht="18.75" customHeight="1" x14ac:dyDescent="0.3">
      <c r="A42" s="13"/>
      <c r="B42" s="14" t="s">
        <v>66</v>
      </c>
      <c r="C42" s="15" t="s">
        <v>31</v>
      </c>
      <c r="D42" s="26">
        <f>1207+389</f>
        <v>1596</v>
      </c>
      <c r="E42" s="50" t="s">
        <v>52</v>
      </c>
      <c r="F42" s="19">
        <v>0</v>
      </c>
      <c r="G42" s="26">
        <f>18%*D42</f>
        <v>287.27999999999997</v>
      </c>
      <c r="H42" s="26">
        <f t="shared" si="10"/>
        <v>287.27999999999997</v>
      </c>
      <c r="I42" s="19">
        <v>0</v>
      </c>
      <c r="J42" s="19">
        <v>0</v>
      </c>
      <c r="K42" s="19">
        <v>0</v>
      </c>
      <c r="L42" s="19">
        <v>0</v>
      </c>
      <c r="M42" s="19">
        <f t="shared" si="11"/>
        <v>0</v>
      </c>
      <c r="N42" s="35"/>
      <c r="O42" s="43"/>
      <c r="P42" s="16"/>
    </row>
    <row r="43" spans="1:16" ht="18.75" customHeight="1" x14ac:dyDescent="0.3">
      <c r="A43" s="13"/>
      <c r="B43" s="14" t="s">
        <v>67</v>
      </c>
      <c r="C43" s="15" t="s">
        <v>32</v>
      </c>
      <c r="D43" s="26">
        <f>998.9+79.5</f>
        <v>1078.4000000000001</v>
      </c>
      <c r="E43" s="50" t="s">
        <v>52</v>
      </c>
      <c r="F43" s="19">
        <v>0</v>
      </c>
      <c r="G43" s="26">
        <f>25%*D43</f>
        <v>269.60000000000002</v>
      </c>
      <c r="H43" s="26">
        <f t="shared" si="10"/>
        <v>269.60000000000002</v>
      </c>
      <c r="I43" s="19">
        <v>0</v>
      </c>
      <c r="J43" s="19">
        <v>0</v>
      </c>
      <c r="K43" s="19">
        <v>0</v>
      </c>
      <c r="L43" s="19">
        <v>0</v>
      </c>
      <c r="M43" s="19">
        <f t="shared" si="11"/>
        <v>0</v>
      </c>
      <c r="N43" s="35"/>
      <c r="O43" s="43"/>
      <c r="P43" s="16"/>
    </row>
    <row r="44" spans="1:16" ht="18.75" customHeight="1" x14ac:dyDescent="0.3">
      <c r="A44" s="13"/>
      <c r="B44" s="14" t="s">
        <v>68</v>
      </c>
      <c r="C44" s="15" t="s">
        <v>33</v>
      </c>
      <c r="D44" s="26">
        <f>1304+57.5</f>
        <v>1361.5</v>
      </c>
      <c r="E44" s="50" t="s">
        <v>52</v>
      </c>
      <c r="F44" s="19">
        <v>0</v>
      </c>
      <c r="G44" s="26">
        <f>28%*D44</f>
        <v>381.22</v>
      </c>
      <c r="H44" s="26">
        <f t="shared" si="10"/>
        <v>381.22</v>
      </c>
      <c r="I44" s="19">
        <v>0</v>
      </c>
      <c r="J44" s="19">
        <v>5</v>
      </c>
      <c r="K44" s="19">
        <v>0</v>
      </c>
      <c r="L44" s="19">
        <v>0</v>
      </c>
      <c r="M44" s="19">
        <f t="shared" si="11"/>
        <v>5</v>
      </c>
      <c r="N44" s="35"/>
      <c r="O44" s="43"/>
      <c r="P44" s="16"/>
    </row>
    <row r="45" spans="1:16" ht="18.75" customHeight="1" x14ac:dyDescent="0.3">
      <c r="A45" s="13"/>
      <c r="B45" s="14" t="s">
        <v>69</v>
      </c>
      <c r="C45" s="15" t="s">
        <v>34</v>
      </c>
      <c r="D45" s="26">
        <f>1784.1+362</f>
        <v>2146.1</v>
      </c>
      <c r="E45" s="50" t="s">
        <v>52</v>
      </c>
      <c r="F45" s="19">
        <v>0</v>
      </c>
      <c r="G45" s="26">
        <f>30%*D45</f>
        <v>643.82999999999993</v>
      </c>
      <c r="H45" s="26">
        <f t="shared" si="10"/>
        <v>643.82999999999993</v>
      </c>
      <c r="I45" s="19">
        <v>0</v>
      </c>
      <c r="J45" s="19">
        <v>3</v>
      </c>
      <c r="K45" s="19">
        <v>1</v>
      </c>
      <c r="L45" s="19">
        <v>0</v>
      </c>
      <c r="M45" s="19">
        <f t="shared" si="11"/>
        <v>4</v>
      </c>
      <c r="N45" s="35"/>
      <c r="O45" s="43"/>
      <c r="P45" s="16"/>
    </row>
    <row r="46" spans="1:16" ht="18.75" customHeight="1" x14ac:dyDescent="0.3">
      <c r="A46" s="13"/>
      <c r="B46" s="14" t="s">
        <v>70</v>
      </c>
      <c r="C46" s="15" t="s">
        <v>35</v>
      </c>
      <c r="D46" s="26">
        <f>1557+181.5</f>
        <v>1738.5</v>
      </c>
      <c r="E46" s="50" t="s">
        <v>52</v>
      </c>
      <c r="F46" s="19">
        <v>0</v>
      </c>
      <c r="G46" s="26">
        <f>29%*D46</f>
        <v>504.16499999999996</v>
      </c>
      <c r="H46" s="26">
        <f t="shared" si="10"/>
        <v>504.16499999999996</v>
      </c>
      <c r="I46" s="19">
        <v>0</v>
      </c>
      <c r="J46" s="19">
        <v>0</v>
      </c>
      <c r="K46" s="19">
        <v>0</v>
      </c>
      <c r="L46" s="19">
        <v>0</v>
      </c>
      <c r="M46" s="19">
        <f t="shared" si="11"/>
        <v>0</v>
      </c>
      <c r="N46" s="35"/>
      <c r="O46" s="43"/>
      <c r="P46" s="16"/>
    </row>
    <row r="47" spans="1:16" ht="18.75" customHeight="1" x14ac:dyDescent="0.3">
      <c r="A47" s="13"/>
      <c r="B47" s="14" t="s">
        <v>71</v>
      </c>
      <c r="C47" s="15" t="s">
        <v>21</v>
      </c>
      <c r="D47" s="26">
        <f>1940+114</f>
        <v>2054</v>
      </c>
      <c r="E47" s="50" t="s">
        <v>52</v>
      </c>
      <c r="F47" s="19">
        <v>0</v>
      </c>
      <c r="G47" s="26">
        <f>30%*D47</f>
        <v>616.19999999999993</v>
      </c>
      <c r="H47" s="26">
        <f t="shared" si="10"/>
        <v>616.19999999999993</v>
      </c>
      <c r="I47" s="19">
        <v>0</v>
      </c>
      <c r="J47" s="19">
        <v>0</v>
      </c>
      <c r="K47" s="19">
        <v>0</v>
      </c>
      <c r="L47" s="19">
        <v>0</v>
      </c>
      <c r="M47" s="19">
        <f t="shared" si="11"/>
        <v>0</v>
      </c>
      <c r="N47" s="35"/>
      <c r="O47" s="43"/>
      <c r="P47" s="16"/>
    </row>
    <row r="48" spans="1:16" ht="18.75" customHeight="1" x14ac:dyDescent="0.3">
      <c r="A48" s="13"/>
      <c r="B48" s="14" t="s">
        <v>72</v>
      </c>
      <c r="C48" s="15" t="s">
        <v>42</v>
      </c>
      <c r="D48" s="26">
        <f>773.1+303.8</f>
        <v>1076.9000000000001</v>
      </c>
      <c r="E48" s="50" t="s">
        <v>52</v>
      </c>
      <c r="F48" s="19">
        <v>0</v>
      </c>
      <c r="G48" s="26">
        <f>30%*D48</f>
        <v>323.07</v>
      </c>
      <c r="H48" s="26">
        <f t="shared" si="10"/>
        <v>323.07</v>
      </c>
      <c r="I48" s="19">
        <v>0</v>
      </c>
      <c r="J48" s="19">
        <v>0</v>
      </c>
      <c r="K48" s="19">
        <v>0</v>
      </c>
      <c r="L48" s="19">
        <v>0</v>
      </c>
      <c r="M48" s="19">
        <f t="shared" si="11"/>
        <v>0</v>
      </c>
      <c r="N48" s="35"/>
      <c r="O48" s="36"/>
      <c r="P48" s="16"/>
    </row>
    <row r="49" spans="1:16" ht="18.75" customHeight="1" x14ac:dyDescent="0.3">
      <c r="A49" s="13"/>
      <c r="B49" s="14" t="s">
        <v>73</v>
      </c>
      <c r="C49" s="15" t="s">
        <v>105</v>
      </c>
      <c r="D49" s="26">
        <f>153.8+8.7</f>
        <v>162.5</v>
      </c>
      <c r="E49" s="50" t="s">
        <v>52</v>
      </c>
      <c r="F49" s="19">
        <v>0</v>
      </c>
      <c r="G49" s="26">
        <f>30%*D49</f>
        <v>48.75</v>
      </c>
      <c r="H49" s="26">
        <f t="shared" si="10"/>
        <v>48.75</v>
      </c>
      <c r="I49" s="19">
        <v>0</v>
      </c>
      <c r="J49" s="19">
        <v>0</v>
      </c>
      <c r="K49" s="19">
        <v>0</v>
      </c>
      <c r="L49" s="19">
        <v>0</v>
      </c>
      <c r="M49" s="19">
        <f t="shared" si="11"/>
        <v>0</v>
      </c>
      <c r="N49" s="35"/>
      <c r="O49" s="36"/>
      <c r="P49" s="16"/>
    </row>
    <row r="50" spans="1:16" ht="18.75" customHeight="1" x14ac:dyDescent="0.3">
      <c r="A50" s="13"/>
      <c r="B50" s="14" t="s">
        <v>74</v>
      </c>
      <c r="C50" s="15" t="s">
        <v>110</v>
      </c>
      <c r="D50" s="26">
        <f>695+48.2</f>
        <v>743.2</v>
      </c>
      <c r="E50" s="50" t="s">
        <v>52</v>
      </c>
      <c r="F50" s="19">
        <v>0</v>
      </c>
      <c r="G50" s="26">
        <f t="shared" ref="G50:G55" si="12">20%*D50</f>
        <v>148.64000000000001</v>
      </c>
      <c r="H50" s="26">
        <f t="shared" si="10"/>
        <v>148.64000000000001</v>
      </c>
      <c r="I50" s="19">
        <v>0</v>
      </c>
      <c r="J50" s="19">
        <v>0</v>
      </c>
      <c r="K50" s="19">
        <v>0</v>
      </c>
      <c r="L50" s="19">
        <v>0</v>
      </c>
      <c r="M50" s="19">
        <f t="shared" si="11"/>
        <v>0</v>
      </c>
      <c r="N50" s="35"/>
      <c r="O50" s="36"/>
      <c r="P50" s="16"/>
    </row>
    <row r="51" spans="1:16" ht="18.75" customHeight="1" x14ac:dyDescent="0.3">
      <c r="A51" s="13"/>
      <c r="B51" s="14" t="s">
        <v>75</v>
      </c>
      <c r="C51" s="15" t="s">
        <v>112</v>
      </c>
      <c r="D51" s="26">
        <f>375+14</f>
        <v>389</v>
      </c>
      <c r="E51" s="50" t="s">
        <v>52</v>
      </c>
      <c r="F51" s="19">
        <v>0</v>
      </c>
      <c r="G51" s="26">
        <f t="shared" si="12"/>
        <v>77.800000000000011</v>
      </c>
      <c r="H51" s="26">
        <f t="shared" si="10"/>
        <v>77.800000000000011</v>
      </c>
      <c r="I51" s="19">
        <v>0</v>
      </c>
      <c r="J51" s="19">
        <v>0</v>
      </c>
      <c r="K51" s="19">
        <v>0</v>
      </c>
      <c r="L51" s="19">
        <v>0</v>
      </c>
      <c r="M51" s="19">
        <f t="shared" si="11"/>
        <v>0</v>
      </c>
      <c r="N51" s="35"/>
      <c r="O51" s="36"/>
      <c r="P51" s="16"/>
    </row>
    <row r="52" spans="1:16" ht="18.75" customHeight="1" x14ac:dyDescent="0.3">
      <c r="A52" s="13"/>
      <c r="B52" s="14" t="s">
        <v>104</v>
      </c>
      <c r="C52" s="15" t="s">
        <v>114</v>
      </c>
      <c r="D52" s="26">
        <f>73.5</f>
        <v>73.5</v>
      </c>
      <c r="E52" s="50" t="s">
        <v>52</v>
      </c>
      <c r="F52" s="19">
        <v>0</v>
      </c>
      <c r="G52" s="26">
        <f t="shared" si="12"/>
        <v>14.700000000000001</v>
      </c>
      <c r="H52" s="26">
        <f t="shared" si="10"/>
        <v>14.700000000000001</v>
      </c>
      <c r="I52" s="19">
        <v>0</v>
      </c>
      <c r="J52" s="19">
        <v>0</v>
      </c>
      <c r="K52" s="19">
        <v>0</v>
      </c>
      <c r="L52" s="19">
        <v>0</v>
      </c>
      <c r="M52" s="19">
        <f t="shared" si="11"/>
        <v>0</v>
      </c>
      <c r="N52" s="35"/>
      <c r="O52" s="36"/>
      <c r="P52" s="16"/>
    </row>
    <row r="53" spans="1:16" ht="18.75" customHeight="1" x14ac:dyDescent="0.3">
      <c r="A53" s="13"/>
      <c r="B53" s="14" t="s">
        <v>106</v>
      </c>
      <c r="C53" s="15" t="s">
        <v>22</v>
      </c>
      <c r="D53" s="26">
        <f>1130+101</f>
        <v>1231</v>
      </c>
      <c r="E53" s="50" t="s">
        <v>52</v>
      </c>
      <c r="F53" s="19">
        <v>0</v>
      </c>
      <c r="G53" s="26">
        <f t="shared" si="12"/>
        <v>246.20000000000002</v>
      </c>
      <c r="H53" s="26">
        <f t="shared" si="10"/>
        <v>246.20000000000002</v>
      </c>
      <c r="I53" s="19">
        <v>0</v>
      </c>
      <c r="J53" s="19">
        <v>0</v>
      </c>
      <c r="K53" s="19">
        <v>0</v>
      </c>
      <c r="L53" s="19">
        <v>0</v>
      </c>
      <c r="M53" s="19">
        <f t="shared" si="11"/>
        <v>0</v>
      </c>
      <c r="N53" s="35"/>
      <c r="O53" s="36"/>
      <c r="P53" s="16"/>
    </row>
    <row r="54" spans="1:16" ht="18.75" customHeight="1" x14ac:dyDescent="0.3">
      <c r="A54" s="13"/>
      <c r="B54" s="14" t="s">
        <v>108</v>
      </c>
      <c r="C54" s="15" t="s">
        <v>180</v>
      </c>
      <c r="D54" s="26">
        <f>134.8+5</f>
        <v>139.80000000000001</v>
      </c>
      <c r="E54" s="47" t="s">
        <v>52</v>
      </c>
      <c r="F54" s="19">
        <v>0</v>
      </c>
      <c r="G54" s="26">
        <f t="shared" si="12"/>
        <v>27.960000000000004</v>
      </c>
      <c r="H54" s="26">
        <f t="shared" si="10"/>
        <v>27.960000000000004</v>
      </c>
      <c r="I54" s="19">
        <v>0</v>
      </c>
      <c r="J54" s="19">
        <v>0</v>
      </c>
      <c r="K54" s="19">
        <v>0</v>
      </c>
      <c r="L54" s="19">
        <v>0</v>
      </c>
      <c r="M54" s="19">
        <f t="shared" si="11"/>
        <v>0</v>
      </c>
      <c r="N54" s="35"/>
      <c r="O54" s="36"/>
      <c r="P54" s="16"/>
    </row>
    <row r="55" spans="1:16" ht="18.75" customHeight="1" x14ac:dyDescent="0.3">
      <c r="A55" s="13"/>
      <c r="B55" s="14" t="s">
        <v>109</v>
      </c>
      <c r="C55" s="15" t="s">
        <v>43</v>
      </c>
      <c r="D55" s="26">
        <f>1189+216.6</f>
        <v>1405.6</v>
      </c>
      <c r="E55" s="50" t="s">
        <v>52</v>
      </c>
      <c r="F55" s="19">
        <v>0</v>
      </c>
      <c r="G55" s="26">
        <f t="shared" si="12"/>
        <v>281.12</v>
      </c>
      <c r="H55" s="26">
        <f t="shared" si="10"/>
        <v>281.12</v>
      </c>
      <c r="I55" s="19">
        <v>0</v>
      </c>
      <c r="J55" s="19">
        <v>0</v>
      </c>
      <c r="K55" s="19">
        <v>0</v>
      </c>
      <c r="L55" s="19">
        <v>0</v>
      </c>
      <c r="M55" s="19">
        <f t="shared" si="11"/>
        <v>0</v>
      </c>
      <c r="N55" s="35"/>
      <c r="O55" s="36"/>
      <c r="P55" s="16"/>
    </row>
    <row r="56" spans="1:16" ht="14.25" customHeight="1" x14ac:dyDescent="0.3">
      <c r="A56" s="13"/>
      <c r="B56" s="55" t="s">
        <v>111</v>
      </c>
      <c r="C56" s="56" t="s">
        <v>44</v>
      </c>
      <c r="D56" s="57">
        <f>1396.6+127</f>
        <v>1523.6</v>
      </c>
      <c r="E56" s="78" t="s">
        <v>52</v>
      </c>
      <c r="F56" s="19">
        <v>0</v>
      </c>
      <c r="G56" s="26">
        <f>25%*D56</f>
        <v>380.9</v>
      </c>
      <c r="H56" s="26">
        <f t="shared" si="10"/>
        <v>380.9</v>
      </c>
      <c r="I56" s="19">
        <v>0</v>
      </c>
      <c r="J56" s="19">
        <v>0</v>
      </c>
      <c r="K56" s="19">
        <v>0</v>
      </c>
      <c r="L56" s="19">
        <v>0</v>
      </c>
      <c r="M56" s="19">
        <f t="shared" si="11"/>
        <v>0</v>
      </c>
      <c r="N56" s="35"/>
      <c r="O56" s="36"/>
      <c r="P56" s="16"/>
    </row>
    <row r="57" spans="1:16" ht="18.75" customHeight="1" x14ac:dyDescent="0.3">
      <c r="A57" s="13"/>
      <c r="B57" s="14" t="s">
        <v>74</v>
      </c>
      <c r="C57" s="15" t="s">
        <v>43</v>
      </c>
      <c r="D57" s="26">
        <v>1189</v>
      </c>
      <c r="E57" s="50" t="s">
        <v>52</v>
      </c>
      <c r="F57" s="19">
        <v>0</v>
      </c>
      <c r="G57" s="26">
        <f>25%*D57</f>
        <v>297.25</v>
      </c>
      <c r="H57" s="26">
        <f t="shared" si="10"/>
        <v>297.25</v>
      </c>
      <c r="I57" s="19">
        <v>0</v>
      </c>
      <c r="J57" s="19">
        <v>5</v>
      </c>
      <c r="K57" s="19">
        <v>0</v>
      </c>
      <c r="L57" s="19">
        <v>0</v>
      </c>
      <c r="M57" s="19">
        <f t="shared" si="11"/>
        <v>5</v>
      </c>
      <c r="N57" s="35"/>
      <c r="O57" s="36"/>
      <c r="P57" s="16"/>
    </row>
    <row r="58" spans="1:16" ht="18.75" customHeight="1" x14ac:dyDescent="0.3">
      <c r="A58" s="54"/>
      <c r="B58" s="55" t="s">
        <v>75</v>
      </c>
      <c r="C58" s="56" t="s">
        <v>44</v>
      </c>
      <c r="D58" s="57">
        <v>1391</v>
      </c>
      <c r="E58" s="78" t="s">
        <v>52</v>
      </c>
      <c r="F58" s="19">
        <v>0</v>
      </c>
      <c r="G58" s="26">
        <f>25%*D58</f>
        <v>347.75</v>
      </c>
      <c r="H58" s="26">
        <f t="shared" si="10"/>
        <v>347.75</v>
      </c>
      <c r="I58" s="19">
        <v>0</v>
      </c>
      <c r="J58" s="19"/>
      <c r="K58" s="19">
        <v>2</v>
      </c>
      <c r="L58" s="19">
        <v>0</v>
      </c>
      <c r="M58" s="19">
        <f t="shared" si="11"/>
        <v>2</v>
      </c>
      <c r="N58" s="80"/>
      <c r="O58" s="81"/>
      <c r="P58" s="87"/>
    </row>
    <row r="59" spans="1:16" ht="18.75" customHeight="1" x14ac:dyDescent="0.3">
      <c r="A59" s="141"/>
      <c r="B59" s="117"/>
      <c r="C59" s="116"/>
      <c r="D59" s="109"/>
      <c r="E59" s="110" t="s">
        <v>223</v>
      </c>
      <c r="F59" s="90">
        <f>15%*D58</f>
        <v>208.65</v>
      </c>
      <c r="G59" s="90"/>
      <c r="H59" s="90">
        <f>SUM(F59:G59)</f>
        <v>208.65</v>
      </c>
      <c r="I59" s="19">
        <v>0</v>
      </c>
      <c r="J59" s="19">
        <v>0</v>
      </c>
      <c r="K59" s="19">
        <v>0</v>
      </c>
      <c r="L59" s="19">
        <v>0</v>
      </c>
      <c r="M59" s="19">
        <f t="shared" si="11"/>
        <v>0</v>
      </c>
      <c r="N59" s="93"/>
      <c r="O59" s="113"/>
      <c r="P59" s="5"/>
    </row>
    <row r="60" spans="1:16" ht="18.75" customHeight="1" x14ac:dyDescent="0.3">
      <c r="A60" s="89"/>
      <c r="B60" s="71"/>
      <c r="C60" s="72"/>
      <c r="D60" s="84">
        <f>SUM(D30:D58)</f>
        <v>30736.879999999997</v>
      </c>
      <c r="E60" s="74"/>
      <c r="F60" s="83">
        <f>SUM(F30:F58)</f>
        <v>33.853000000000002</v>
      </c>
      <c r="G60" s="83">
        <f>SUM(G30:G58)</f>
        <v>8621.098</v>
      </c>
      <c r="H60" s="83">
        <f>SUM(H30:H59)</f>
        <v>8863.6010000000006</v>
      </c>
      <c r="I60" s="83">
        <f>SUM(I30:I59)</f>
        <v>20</v>
      </c>
      <c r="J60" s="83">
        <f>SUM(J30:J58)</f>
        <v>38</v>
      </c>
      <c r="K60" s="83">
        <f>SUM(K30:K58)</f>
        <v>21</v>
      </c>
      <c r="L60" s="83">
        <f>SUM(L30:L58)</f>
        <v>0</v>
      </c>
      <c r="M60" s="83">
        <f>SUM(M30:M58)</f>
        <v>79</v>
      </c>
      <c r="N60" s="76"/>
      <c r="O60" s="77"/>
      <c r="P60" s="75"/>
    </row>
    <row r="61" spans="1:16" ht="18.75" customHeight="1" x14ac:dyDescent="0.3">
      <c r="A61" s="63">
        <v>4</v>
      </c>
      <c r="B61" s="64" t="s">
        <v>46</v>
      </c>
      <c r="C61" s="65"/>
      <c r="D61" s="66"/>
      <c r="E61" s="67"/>
      <c r="F61" s="82"/>
      <c r="G61" s="82"/>
      <c r="H61" s="82"/>
      <c r="I61" s="82"/>
      <c r="J61" s="82"/>
      <c r="K61" s="82"/>
      <c r="L61" s="82"/>
      <c r="M61" s="82"/>
      <c r="N61" s="69"/>
      <c r="O61" s="70"/>
      <c r="P61" s="68"/>
    </row>
    <row r="62" spans="1:16" ht="18.75" customHeight="1" x14ac:dyDescent="0.3">
      <c r="A62" s="102"/>
      <c r="B62" s="98" t="s">
        <v>57</v>
      </c>
      <c r="C62" s="99" t="s">
        <v>29</v>
      </c>
      <c r="D62" s="96">
        <v>175</v>
      </c>
      <c r="E62" s="101" t="s">
        <v>233</v>
      </c>
      <c r="F62" s="96"/>
      <c r="G62" s="96">
        <f>50%*D62</f>
        <v>87.5</v>
      </c>
      <c r="H62" s="96">
        <f>SUM(F62:G62)</f>
        <v>87.5</v>
      </c>
      <c r="I62" s="97">
        <v>0</v>
      </c>
      <c r="J62" s="97"/>
      <c r="K62" s="97">
        <v>0</v>
      </c>
      <c r="L62" s="97">
        <v>0</v>
      </c>
      <c r="M62" s="97">
        <f t="shared" ref="M62:M69" si="13">SUM(I62:L62)</f>
        <v>0</v>
      </c>
      <c r="N62" s="35"/>
      <c r="O62" s="36" t="s">
        <v>229</v>
      </c>
      <c r="P62" s="16"/>
    </row>
    <row r="63" spans="1:16" ht="18.75" customHeight="1" x14ac:dyDescent="0.3">
      <c r="A63" s="13"/>
      <c r="B63" s="14" t="s">
        <v>58</v>
      </c>
      <c r="C63" s="15" t="s">
        <v>33</v>
      </c>
      <c r="D63" s="26">
        <v>270</v>
      </c>
      <c r="E63" s="101" t="s">
        <v>233</v>
      </c>
      <c r="F63" s="26">
        <f>2%*D63</f>
        <v>5.4</v>
      </c>
      <c r="G63" s="26">
        <f>35%*D63</f>
        <v>94.5</v>
      </c>
      <c r="H63" s="26">
        <f t="shared" ref="H63:H69" si="14">SUM(F63:G63)</f>
        <v>99.9</v>
      </c>
      <c r="I63" s="19">
        <v>0</v>
      </c>
      <c r="J63" s="19"/>
      <c r="K63" s="19">
        <v>0</v>
      </c>
      <c r="L63" s="19">
        <v>0</v>
      </c>
      <c r="M63" s="19">
        <f t="shared" si="13"/>
        <v>0</v>
      </c>
      <c r="N63" s="35"/>
      <c r="O63" s="36"/>
      <c r="P63" s="16"/>
    </row>
    <row r="64" spans="1:16" ht="18.75" customHeight="1" x14ac:dyDescent="0.3">
      <c r="A64" s="13"/>
      <c r="B64" s="98" t="s">
        <v>59</v>
      </c>
      <c r="C64" s="99" t="s">
        <v>42</v>
      </c>
      <c r="D64" s="96">
        <v>798.93</v>
      </c>
      <c r="E64" s="101" t="s">
        <v>233</v>
      </c>
      <c r="F64" s="96">
        <f>3%*D64</f>
        <v>23.967899999999997</v>
      </c>
      <c r="G64" s="97">
        <f>30%*D64</f>
        <v>239.67899999999997</v>
      </c>
      <c r="H64" s="96">
        <f t="shared" si="14"/>
        <v>263.64689999999996</v>
      </c>
      <c r="I64" s="97">
        <v>0</v>
      </c>
      <c r="J64" s="97"/>
      <c r="K64" s="97">
        <v>0</v>
      </c>
      <c r="L64" s="97">
        <v>0</v>
      </c>
      <c r="M64" s="97">
        <f t="shared" si="13"/>
        <v>0</v>
      </c>
      <c r="N64" s="35"/>
      <c r="O64" s="36"/>
      <c r="P64" s="16"/>
    </row>
    <row r="65" spans="1:16" ht="24" customHeight="1" x14ac:dyDescent="0.3">
      <c r="A65" s="13"/>
      <c r="B65" s="98" t="s">
        <v>60</v>
      </c>
      <c r="C65" s="99" t="s">
        <v>21</v>
      </c>
      <c r="D65" s="96">
        <v>1086.55</v>
      </c>
      <c r="E65" s="101" t="s">
        <v>186</v>
      </c>
      <c r="F65" s="96">
        <f>5%*D65</f>
        <v>54.327500000000001</v>
      </c>
      <c r="G65" s="97">
        <f>25%*D65</f>
        <v>271.63749999999999</v>
      </c>
      <c r="H65" s="96">
        <f t="shared" si="14"/>
        <v>325.96499999999997</v>
      </c>
      <c r="I65" s="97">
        <v>0</v>
      </c>
      <c r="J65" s="97">
        <v>4</v>
      </c>
      <c r="K65" s="97">
        <v>2</v>
      </c>
      <c r="L65" s="97">
        <v>0</v>
      </c>
      <c r="M65" s="97">
        <f t="shared" si="13"/>
        <v>6</v>
      </c>
      <c r="N65" s="35"/>
      <c r="O65" s="36"/>
      <c r="P65" s="16"/>
    </row>
    <row r="66" spans="1:16" ht="17.25" customHeight="1" x14ac:dyDescent="0.3">
      <c r="A66" s="13"/>
      <c r="B66" s="98"/>
      <c r="C66" s="99"/>
      <c r="D66" s="96"/>
      <c r="E66" s="101" t="s">
        <v>233</v>
      </c>
      <c r="F66" s="96"/>
      <c r="G66" s="96">
        <f>30%*D65</f>
        <v>325.96499999999997</v>
      </c>
      <c r="H66" s="96">
        <f>SUM(F66:G66)</f>
        <v>325.96499999999997</v>
      </c>
      <c r="I66" s="19">
        <v>0</v>
      </c>
      <c r="J66" s="19">
        <v>0</v>
      </c>
      <c r="K66" s="19">
        <v>0</v>
      </c>
      <c r="L66" s="19">
        <v>0</v>
      </c>
      <c r="M66" s="19">
        <f t="shared" si="13"/>
        <v>0</v>
      </c>
      <c r="N66" s="35"/>
      <c r="O66" s="36"/>
      <c r="P66" s="16"/>
    </row>
    <row r="67" spans="1:16" ht="18.75" customHeight="1" x14ac:dyDescent="0.3">
      <c r="A67" s="16"/>
      <c r="B67" s="14" t="s">
        <v>61</v>
      </c>
      <c r="C67" s="15" t="s">
        <v>22</v>
      </c>
      <c r="D67" s="26">
        <v>1084.55</v>
      </c>
      <c r="E67" s="101" t="s">
        <v>233</v>
      </c>
      <c r="F67" s="26">
        <f>3%*D67</f>
        <v>32.536499999999997</v>
      </c>
      <c r="G67" s="19">
        <f>20%*D67</f>
        <v>216.91</v>
      </c>
      <c r="H67" s="26">
        <f t="shared" si="14"/>
        <v>249.44649999999999</v>
      </c>
      <c r="I67" s="19">
        <v>0</v>
      </c>
      <c r="J67" s="19">
        <v>1</v>
      </c>
      <c r="K67" s="19">
        <v>2</v>
      </c>
      <c r="L67" s="19">
        <v>0</v>
      </c>
      <c r="M67" s="19">
        <f t="shared" si="13"/>
        <v>3</v>
      </c>
      <c r="N67" s="35"/>
      <c r="O67" s="36"/>
      <c r="P67" s="16"/>
    </row>
    <row r="68" spans="1:16" ht="18.75" customHeight="1" x14ac:dyDescent="0.3">
      <c r="A68" s="87"/>
      <c r="B68" s="55" t="s">
        <v>62</v>
      </c>
      <c r="C68" s="56" t="s">
        <v>43</v>
      </c>
      <c r="D68" s="57">
        <v>33</v>
      </c>
      <c r="E68" s="101" t="s">
        <v>233</v>
      </c>
      <c r="F68" s="26">
        <f>4%*D68</f>
        <v>1.32</v>
      </c>
      <c r="G68" s="19">
        <f>20%*D68</f>
        <v>6.6000000000000005</v>
      </c>
      <c r="H68" s="26">
        <f t="shared" si="14"/>
        <v>7.9200000000000008</v>
      </c>
      <c r="I68" s="19">
        <v>0</v>
      </c>
      <c r="J68" s="19">
        <v>4</v>
      </c>
      <c r="K68" s="19">
        <v>0</v>
      </c>
      <c r="L68" s="19">
        <v>0</v>
      </c>
      <c r="M68" s="19">
        <f t="shared" si="13"/>
        <v>4</v>
      </c>
      <c r="N68" s="80"/>
      <c r="O68" s="81"/>
      <c r="P68" s="87"/>
    </row>
    <row r="69" spans="1:16" ht="24.75" customHeight="1" x14ac:dyDescent="0.3">
      <c r="A69" s="16"/>
      <c r="B69" s="14" t="s">
        <v>63</v>
      </c>
      <c r="C69" s="15" t="s">
        <v>32</v>
      </c>
      <c r="D69" s="26">
        <v>178.5</v>
      </c>
      <c r="E69" s="101" t="s">
        <v>236</v>
      </c>
      <c r="F69" s="26">
        <f>6%*D69</f>
        <v>10.709999999999999</v>
      </c>
      <c r="G69" s="19">
        <f>32%*D69</f>
        <v>57.120000000000005</v>
      </c>
      <c r="H69" s="26">
        <f t="shared" si="14"/>
        <v>67.83</v>
      </c>
      <c r="I69" s="135">
        <v>0</v>
      </c>
      <c r="J69" s="135">
        <v>4</v>
      </c>
      <c r="K69" s="135">
        <v>0</v>
      </c>
      <c r="L69" s="135">
        <v>0</v>
      </c>
      <c r="M69" s="135">
        <f t="shared" si="13"/>
        <v>4</v>
      </c>
      <c r="N69" s="35"/>
      <c r="O69" s="36"/>
      <c r="P69" s="16"/>
    </row>
    <row r="70" spans="1:16" ht="18.75" customHeight="1" x14ac:dyDescent="0.3">
      <c r="A70" s="75"/>
      <c r="B70" s="71"/>
      <c r="C70" s="72"/>
      <c r="D70" s="73">
        <f>SUM(D62:D69)</f>
        <v>3626.5299999999997</v>
      </c>
      <c r="E70" s="74"/>
      <c r="F70" s="73">
        <f t="shared" ref="F70:K70" si="15">SUM(F62:F69)</f>
        <v>128.2619</v>
      </c>
      <c r="G70" s="83">
        <f t="shared" si="15"/>
        <v>1299.9114999999997</v>
      </c>
      <c r="H70" s="73">
        <f t="shared" si="15"/>
        <v>1428.1733999999999</v>
      </c>
      <c r="I70" s="83">
        <f t="shared" si="15"/>
        <v>0</v>
      </c>
      <c r="J70" s="83">
        <f t="shared" si="15"/>
        <v>13</v>
      </c>
      <c r="K70" s="83">
        <f t="shared" si="15"/>
        <v>4</v>
      </c>
      <c r="L70" s="83"/>
      <c r="M70" s="83">
        <f>SUM(M62:M69)</f>
        <v>17</v>
      </c>
      <c r="N70" s="76"/>
      <c r="O70" s="77"/>
      <c r="P70" s="75"/>
    </row>
    <row r="71" spans="1:16" ht="16.5" customHeight="1" x14ac:dyDescent="0.3">
      <c r="A71" s="63">
        <v>5</v>
      </c>
      <c r="B71" s="64" t="s">
        <v>96</v>
      </c>
      <c r="C71" s="65"/>
      <c r="D71" s="66"/>
      <c r="E71" s="67"/>
      <c r="F71" s="66"/>
      <c r="G71" s="66"/>
      <c r="H71" s="66"/>
      <c r="I71" s="82"/>
      <c r="J71" s="82"/>
      <c r="K71" s="82"/>
      <c r="L71" s="82"/>
      <c r="M71" s="82"/>
      <c r="N71" s="69"/>
      <c r="O71" s="70"/>
      <c r="P71" s="68"/>
    </row>
    <row r="72" spans="1:16" ht="16.5" customHeight="1" x14ac:dyDescent="0.3">
      <c r="A72" s="16"/>
      <c r="B72" s="14" t="s">
        <v>57</v>
      </c>
      <c r="C72" s="15" t="s">
        <v>22</v>
      </c>
      <c r="D72" s="26">
        <v>9.5</v>
      </c>
      <c r="E72" s="47" t="s">
        <v>163</v>
      </c>
      <c r="F72" s="26">
        <f>15%*D72</f>
        <v>1.425</v>
      </c>
      <c r="G72" s="26">
        <v>0</v>
      </c>
      <c r="H72" s="26">
        <f t="shared" ref="H72:H80" si="16">SUM(F72:G72)</f>
        <v>1.425</v>
      </c>
      <c r="I72" s="19">
        <v>0</v>
      </c>
      <c r="J72" s="19"/>
      <c r="K72" s="19">
        <v>0</v>
      </c>
      <c r="L72" s="19">
        <v>0</v>
      </c>
      <c r="M72" s="19">
        <f>SUM(I72:L72)</f>
        <v>0</v>
      </c>
      <c r="N72" s="35"/>
      <c r="O72" s="36" t="s">
        <v>136</v>
      </c>
      <c r="P72" s="16"/>
    </row>
    <row r="73" spans="1:16" ht="17.25" customHeight="1" x14ac:dyDescent="0.3">
      <c r="A73" s="16"/>
      <c r="B73" s="14" t="s">
        <v>58</v>
      </c>
      <c r="C73" s="15" t="s">
        <v>21</v>
      </c>
      <c r="D73" s="26">
        <v>18.11</v>
      </c>
      <c r="E73" s="47" t="s">
        <v>164</v>
      </c>
      <c r="F73" s="26">
        <f>15%*D73</f>
        <v>2.7164999999999999</v>
      </c>
      <c r="G73" s="26">
        <f>5%*D73</f>
        <v>0.90549999999999997</v>
      </c>
      <c r="H73" s="26">
        <f t="shared" si="16"/>
        <v>3.6219999999999999</v>
      </c>
      <c r="I73" s="19">
        <v>0</v>
      </c>
      <c r="J73" s="19">
        <v>2</v>
      </c>
      <c r="K73" s="19">
        <v>3</v>
      </c>
      <c r="L73" s="19">
        <v>0</v>
      </c>
      <c r="M73" s="19">
        <f t="shared" ref="M73:M80" si="17">SUM(I73:L73)</f>
        <v>5</v>
      </c>
      <c r="N73" s="35"/>
      <c r="O73" s="36" t="s">
        <v>50</v>
      </c>
      <c r="P73" s="16"/>
    </row>
    <row r="74" spans="1:16" ht="16.5" customHeight="1" x14ac:dyDescent="0.3">
      <c r="A74" s="16"/>
      <c r="B74" s="14"/>
      <c r="C74" s="15"/>
      <c r="D74" s="26"/>
      <c r="E74" s="49" t="s">
        <v>187</v>
      </c>
      <c r="F74" s="96">
        <f>10%*D73</f>
        <v>1.8109999999999999</v>
      </c>
      <c r="G74" s="96">
        <v>0</v>
      </c>
      <c r="H74" s="96">
        <f t="shared" si="16"/>
        <v>1.8109999999999999</v>
      </c>
      <c r="I74" s="97">
        <v>0</v>
      </c>
      <c r="J74" s="97">
        <v>0</v>
      </c>
      <c r="K74" s="97">
        <v>0</v>
      </c>
      <c r="L74" s="97">
        <v>0</v>
      </c>
      <c r="M74" s="97">
        <f t="shared" si="17"/>
        <v>0</v>
      </c>
      <c r="N74" s="35"/>
      <c r="O74" s="36"/>
      <c r="P74" s="16"/>
    </row>
    <row r="75" spans="1:16" ht="16.5" customHeight="1" x14ac:dyDescent="0.3">
      <c r="A75" s="16"/>
      <c r="B75" s="14" t="s">
        <v>59</v>
      </c>
      <c r="C75" s="15" t="s">
        <v>43</v>
      </c>
      <c r="D75" s="26">
        <v>18.79</v>
      </c>
      <c r="E75" s="47" t="s">
        <v>163</v>
      </c>
      <c r="F75" s="26">
        <f>11%*D75</f>
        <v>2.0669</v>
      </c>
      <c r="G75" s="26">
        <v>0</v>
      </c>
      <c r="H75" s="26">
        <f t="shared" si="16"/>
        <v>2.0669</v>
      </c>
      <c r="I75" s="19">
        <v>0</v>
      </c>
      <c r="J75" s="19">
        <v>3</v>
      </c>
      <c r="K75" s="19">
        <v>1</v>
      </c>
      <c r="L75" s="19">
        <v>0</v>
      </c>
      <c r="M75" s="19">
        <f t="shared" si="17"/>
        <v>4</v>
      </c>
      <c r="N75" s="35"/>
      <c r="O75" s="36" t="s">
        <v>137</v>
      </c>
      <c r="P75" s="16"/>
    </row>
    <row r="76" spans="1:16" ht="17.25" customHeight="1" x14ac:dyDescent="0.3">
      <c r="A76" s="16"/>
      <c r="B76" s="14" t="s">
        <v>60</v>
      </c>
      <c r="C76" s="15" t="s">
        <v>44</v>
      </c>
      <c r="D76" s="26">
        <v>30.5</v>
      </c>
      <c r="E76" s="47" t="s">
        <v>164</v>
      </c>
      <c r="F76" s="26">
        <f>15%*D76</f>
        <v>4.5750000000000002</v>
      </c>
      <c r="G76" s="26">
        <v>0</v>
      </c>
      <c r="H76" s="26">
        <f t="shared" si="16"/>
        <v>4.5750000000000002</v>
      </c>
      <c r="I76" s="19">
        <v>0</v>
      </c>
      <c r="J76" s="19">
        <v>0</v>
      </c>
      <c r="K76" s="19">
        <v>0</v>
      </c>
      <c r="L76" s="19">
        <v>0</v>
      </c>
      <c r="M76" s="19">
        <f t="shared" si="17"/>
        <v>0</v>
      </c>
      <c r="N76" s="35"/>
      <c r="O76" s="36" t="s">
        <v>145</v>
      </c>
      <c r="P76" s="16"/>
    </row>
    <row r="77" spans="1:16" ht="15.75" customHeight="1" x14ac:dyDescent="0.3">
      <c r="A77" s="16"/>
      <c r="B77" s="14" t="s">
        <v>61</v>
      </c>
      <c r="C77" s="15" t="s">
        <v>33</v>
      </c>
      <c r="D77" s="26">
        <v>5.5</v>
      </c>
      <c r="E77" s="47" t="s">
        <v>163</v>
      </c>
      <c r="F77" s="26">
        <f>12%*D77</f>
        <v>0.65999999999999992</v>
      </c>
      <c r="G77" s="26">
        <v>0</v>
      </c>
      <c r="H77" s="26">
        <f t="shared" si="16"/>
        <v>0.65999999999999992</v>
      </c>
      <c r="I77" s="19">
        <v>0</v>
      </c>
      <c r="J77" s="19">
        <v>0</v>
      </c>
      <c r="K77" s="19">
        <v>0</v>
      </c>
      <c r="L77" s="19">
        <v>0</v>
      </c>
      <c r="M77" s="19">
        <f t="shared" si="17"/>
        <v>0</v>
      </c>
      <c r="N77" s="35"/>
      <c r="O77" s="36" t="s">
        <v>146</v>
      </c>
      <c r="P77" s="16"/>
    </row>
    <row r="78" spans="1:16" ht="17.25" customHeight="1" x14ac:dyDescent="0.3">
      <c r="A78" s="16"/>
      <c r="B78" s="14" t="s">
        <v>62</v>
      </c>
      <c r="C78" s="15" t="s">
        <v>32</v>
      </c>
      <c r="D78" s="26">
        <v>1.25</v>
      </c>
      <c r="E78" s="47" t="s">
        <v>163</v>
      </c>
      <c r="F78" s="26">
        <f>12%*D78</f>
        <v>0.15</v>
      </c>
      <c r="G78" s="26">
        <v>0</v>
      </c>
      <c r="H78" s="26">
        <f t="shared" si="16"/>
        <v>0.15</v>
      </c>
      <c r="I78" s="19">
        <v>0</v>
      </c>
      <c r="J78" s="19">
        <v>0</v>
      </c>
      <c r="K78" s="19">
        <v>0</v>
      </c>
      <c r="L78" s="19">
        <v>0</v>
      </c>
      <c r="M78" s="19">
        <f t="shared" si="17"/>
        <v>0</v>
      </c>
      <c r="N78" s="35"/>
      <c r="O78" s="36"/>
      <c r="P78" s="16"/>
    </row>
    <row r="79" spans="1:16" ht="16.5" customHeight="1" x14ac:dyDescent="0.3">
      <c r="A79" s="16"/>
      <c r="B79" s="14">
        <v>9</v>
      </c>
      <c r="C79" s="15" t="s">
        <v>30</v>
      </c>
      <c r="D79" s="26">
        <v>10</v>
      </c>
      <c r="E79" s="47" t="s">
        <v>163</v>
      </c>
      <c r="F79" s="26">
        <f>12%*D79</f>
        <v>1.2</v>
      </c>
      <c r="G79" s="26">
        <v>0</v>
      </c>
      <c r="H79" s="26">
        <f t="shared" si="16"/>
        <v>1.2</v>
      </c>
      <c r="I79" s="19">
        <v>0</v>
      </c>
      <c r="J79" s="19">
        <v>0</v>
      </c>
      <c r="K79" s="19">
        <v>0</v>
      </c>
      <c r="L79" s="19">
        <v>0</v>
      </c>
      <c r="M79" s="19">
        <f t="shared" si="17"/>
        <v>0</v>
      </c>
      <c r="N79" s="35"/>
      <c r="O79" s="36"/>
      <c r="P79" s="16"/>
    </row>
    <row r="80" spans="1:16" ht="17.25" customHeight="1" x14ac:dyDescent="0.3">
      <c r="A80" s="87"/>
      <c r="B80" s="55" t="s">
        <v>64</v>
      </c>
      <c r="C80" s="56" t="s">
        <v>31</v>
      </c>
      <c r="D80" s="57">
        <v>4</v>
      </c>
      <c r="E80" s="85" t="s">
        <v>164</v>
      </c>
      <c r="F80" s="26">
        <f>15%*D80</f>
        <v>0.6</v>
      </c>
      <c r="G80" s="26">
        <v>0</v>
      </c>
      <c r="H80" s="26">
        <f t="shared" si="16"/>
        <v>0.6</v>
      </c>
      <c r="I80" s="79">
        <v>0</v>
      </c>
      <c r="J80" s="79">
        <v>0</v>
      </c>
      <c r="K80" s="79">
        <v>0</v>
      </c>
      <c r="L80" s="79">
        <v>0</v>
      </c>
      <c r="M80" s="79">
        <f t="shared" si="17"/>
        <v>0</v>
      </c>
      <c r="N80" s="80"/>
      <c r="O80" s="81"/>
      <c r="P80" s="87"/>
    </row>
    <row r="81" spans="1:16" ht="18.75" customHeight="1" x14ac:dyDescent="0.3">
      <c r="A81" s="75"/>
      <c r="B81" s="71"/>
      <c r="C81" s="72"/>
      <c r="D81" s="73">
        <f>SUM(D72:D80)</f>
        <v>97.65</v>
      </c>
      <c r="E81" s="74"/>
      <c r="F81" s="73">
        <f t="shared" ref="F81:K81" si="18">SUM(F72:F80)</f>
        <v>15.2044</v>
      </c>
      <c r="G81" s="83">
        <f t="shared" si="18"/>
        <v>0.90549999999999997</v>
      </c>
      <c r="H81" s="73">
        <f t="shared" si="18"/>
        <v>16.1099</v>
      </c>
      <c r="I81" s="83">
        <f t="shared" si="18"/>
        <v>0</v>
      </c>
      <c r="J81" s="83">
        <f t="shared" si="18"/>
        <v>5</v>
      </c>
      <c r="K81" s="83">
        <f t="shared" si="18"/>
        <v>4</v>
      </c>
      <c r="L81" s="83">
        <f>SUM(L56:L63)</f>
        <v>0</v>
      </c>
      <c r="M81" s="83">
        <f>SUM(M72:M80)</f>
        <v>9</v>
      </c>
      <c r="N81" s="76"/>
      <c r="O81" s="77"/>
      <c r="P81" s="75"/>
    </row>
    <row r="82" spans="1:16" ht="17.25" customHeight="1" x14ac:dyDescent="0.3">
      <c r="A82" s="103">
        <v>6</v>
      </c>
      <c r="B82" s="104" t="s">
        <v>116</v>
      </c>
      <c r="C82" s="104"/>
      <c r="D82" s="105"/>
      <c r="E82" s="106"/>
      <c r="F82" s="105"/>
      <c r="G82" s="107"/>
      <c r="H82" s="105"/>
      <c r="I82" s="107"/>
      <c r="J82" s="107"/>
      <c r="K82" s="107"/>
      <c r="L82" s="107"/>
      <c r="M82" s="107"/>
      <c r="N82" s="114"/>
      <c r="O82" s="112"/>
      <c r="P82" s="104"/>
    </row>
    <row r="83" spans="1:16" ht="58.5" customHeight="1" x14ac:dyDescent="0.3">
      <c r="A83" s="16"/>
      <c r="B83" s="98" t="s">
        <v>57</v>
      </c>
      <c r="C83" s="99" t="s">
        <v>30</v>
      </c>
      <c r="D83" s="96">
        <v>24.5</v>
      </c>
      <c r="E83" s="101" t="s">
        <v>188</v>
      </c>
      <c r="F83" s="96">
        <f>5%*D83</f>
        <v>1.2250000000000001</v>
      </c>
      <c r="G83" s="97">
        <v>0</v>
      </c>
      <c r="H83" s="96">
        <f t="shared" ref="H83:H87" si="19">SUM(F83:G83)</f>
        <v>1.2250000000000001</v>
      </c>
      <c r="I83" s="97">
        <v>0</v>
      </c>
      <c r="J83" s="97"/>
      <c r="K83" s="97">
        <v>1</v>
      </c>
      <c r="L83" s="97">
        <v>0</v>
      </c>
      <c r="M83" s="97">
        <f>SUM(I83:L83)</f>
        <v>1</v>
      </c>
      <c r="N83" s="35"/>
      <c r="O83" s="40" t="s">
        <v>239</v>
      </c>
      <c r="P83" s="16"/>
    </row>
    <row r="84" spans="1:16" ht="22.5" customHeight="1" x14ac:dyDescent="0.3">
      <c r="A84" s="16"/>
      <c r="B84" s="14" t="s">
        <v>58</v>
      </c>
      <c r="C84" s="15" t="s">
        <v>44</v>
      </c>
      <c r="D84" s="26">
        <v>72.03</v>
      </c>
      <c r="E84" s="47" t="s">
        <v>182</v>
      </c>
      <c r="F84" s="26">
        <f>9%*D84</f>
        <v>6.4826999999999995</v>
      </c>
      <c r="G84" s="19">
        <v>0</v>
      </c>
      <c r="H84" s="26">
        <f t="shared" si="19"/>
        <v>6.4826999999999995</v>
      </c>
      <c r="I84" s="19">
        <v>0</v>
      </c>
      <c r="J84" s="19">
        <v>3</v>
      </c>
      <c r="K84" s="19">
        <v>2</v>
      </c>
      <c r="L84" s="19">
        <v>0</v>
      </c>
      <c r="M84" s="19">
        <f t="shared" ref="M84:M87" si="20">SUM(I84:L84)</f>
        <v>5</v>
      </c>
      <c r="N84" s="35"/>
      <c r="O84" s="36"/>
      <c r="P84" s="16"/>
    </row>
    <row r="85" spans="1:16" ht="30.75" customHeight="1" x14ac:dyDescent="0.3">
      <c r="A85" s="16"/>
      <c r="B85" s="14"/>
      <c r="C85" s="15"/>
      <c r="D85" s="26"/>
      <c r="E85" s="101" t="s">
        <v>181</v>
      </c>
      <c r="F85" s="96">
        <f>13%*D84</f>
        <v>9.363900000000001</v>
      </c>
      <c r="G85" s="97">
        <v>0</v>
      </c>
      <c r="H85" s="96">
        <f t="shared" si="19"/>
        <v>9.363900000000001</v>
      </c>
      <c r="I85" s="97">
        <v>0</v>
      </c>
      <c r="J85" s="97"/>
      <c r="K85" s="97">
        <v>0</v>
      </c>
      <c r="L85" s="97">
        <v>0</v>
      </c>
      <c r="M85" s="97">
        <f>SUM(I85:L85)</f>
        <v>0</v>
      </c>
      <c r="N85" s="35"/>
      <c r="O85" s="36"/>
      <c r="P85" s="16"/>
    </row>
    <row r="86" spans="1:16" ht="30" customHeight="1" x14ac:dyDescent="0.3">
      <c r="A86" s="16"/>
      <c r="B86" s="14" t="s">
        <v>59</v>
      </c>
      <c r="C86" s="15" t="s">
        <v>33</v>
      </c>
      <c r="D86" s="26">
        <v>14.2</v>
      </c>
      <c r="E86" s="101" t="s">
        <v>181</v>
      </c>
      <c r="F86" s="26">
        <f>10%*D86</f>
        <v>1.42</v>
      </c>
      <c r="G86" s="19">
        <v>0</v>
      </c>
      <c r="H86" s="26">
        <f t="shared" si="19"/>
        <v>1.42</v>
      </c>
      <c r="I86" s="19">
        <v>0</v>
      </c>
      <c r="J86" s="19">
        <v>1</v>
      </c>
      <c r="K86" s="19"/>
      <c r="L86" s="19">
        <v>0</v>
      </c>
      <c r="M86" s="19">
        <f t="shared" si="20"/>
        <v>1</v>
      </c>
      <c r="N86" s="35"/>
      <c r="O86" s="36"/>
      <c r="P86" s="16"/>
    </row>
    <row r="87" spans="1:16" ht="41.25" customHeight="1" x14ac:dyDescent="0.3">
      <c r="A87" s="108"/>
      <c r="B87" s="128" t="s">
        <v>61</v>
      </c>
      <c r="C87" s="126" t="s">
        <v>35</v>
      </c>
      <c r="D87" s="127">
        <v>35.72</v>
      </c>
      <c r="E87" s="142" t="s">
        <v>183</v>
      </c>
      <c r="F87" s="127">
        <f>9%*D87</f>
        <v>3.2147999999999999</v>
      </c>
      <c r="G87" s="143">
        <v>0</v>
      </c>
      <c r="H87" s="127">
        <f t="shared" si="19"/>
        <v>3.2147999999999999</v>
      </c>
      <c r="I87" s="143">
        <v>0</v>
      </c>
      <c r="J87" s="143">
        <v>0</v>
      </c>
      <c r="K87" s="143">
        <v>0</v>
      </c>
      <c r="L87" s="143">
        <v>0</v>
      </c>
      <c r="M87" s="143">
        <f t="shared" si="20"/>
        <v>0</v>
      </c>
      <c r="N87" s="115"/>
      <c r="O87" s="113"/>
      <c r="P87" s="108"/>
    </row>
    <row r="88" spans="1:16" ht="20.25" customHeight="1" x14ac:dyDescent="0.3">
      <c r="A88" s="75"/>
      <c r="B88" s="136"/>
      <c r="C88" s="137"/>
      <c r="D88" s="138">
        <f>SUM(D83:D87)</f>
        <v>146.44999999999999</v>
      </c>
      <c r="E88" s="139"/>
      <c r="F88" s="138">
        <f t="shared" ref="F88:M88" si="21">SUM(F83:F87)</f>
        <v>21.706399999999999</v>
      </c>
      <c r="G88" s="140">
        <f t="shared" si="21"/>
        <v>0</v>
      </c>
      <c r="H88" s="138">
        <f t="shared" si="21"/>
        <v>21.706399999999999</v>
      </c>
      <c r="I88" s="140">
        <f t="shared" si="21"/>
        <v>0</v>
      </c>
      <c r="J88" s="140">
        <f t="shared" si="21"/>
        <v>4</v>
      </c>
      <c r="K88" s="140">
        <f t="shared" si="21"/>
        <v>3</v>
      </c>
      <c r="L88" s="140">
        <f t="shared" si="21"/>
        <v>0</v>
      </c>
      <c r="M88" s="140">
        <f t="shared" si="21"/>
        <v>7</v>
      </c>
      <c r="N88" s="76"/>
      <c r="O88" s="77"/>
      <c r="P88" s="75"/>
    </row>
    <row r="89" spans="1:16" ht="15.75" customHeight="1" x14ac:dyDescent="0.3">
      <c r="A89" s="63">
        <v>7</v>
      </c>
      <c r="B89" s="8" t="s">
        <v>117</v>
      </c>
      <c r="C89" s="10"/>
      <c r="D89" s="90"/>
      <c r="E89" s="67"/>
      <c r="F89" s="66"/>
      <c r="G89" s="82"/>
      <c r="H89" s="66"/>
      <c r="I89" s="82"/>
      <c r="J89" s="82"/>
      <c r="K89" s="82"/>
      <c r="L89" s="82"/>
      <c r="M89" s="82"/>
      <c r="N89" s="69"/>
      <c r="O89" s="70"/>
      <c r="P89" s="5"/>
    </row>
    <row r="90" spans="1:16" ht="24.75" customHeight="1" x14ac:dyDescent="0.3">
      <c r="A90" s="16"/>
      <c r="B90" s="14" t="s">
        <v>57</v>
      </c>
      <c r="C90" s="15" t="s">
        <v>22</v>
      </c>
      <c r="D90" s="26">
        <v>296.95</v>
      </c>
      <c r="E90" s="101" t="s">
        <v>203</v>
      </c>
      <c r="F90" s="96">
        <f>10%*D90</f>
        <v>29.695</v>
      </c>
      <c r="G90" s="97">
        <v>0</v>
      </c>
      <c r="H90" s="96">
        <f t="shared" ref="H90:H100" si="22">SUM(F90:G90)</f>
        <v>29.695</v>
      </c>
      <c r="I90" s="97">
        <v>0</v>
      </c>
      <c r="J90" s="97">
        <v>5</v>
      </c>
      <c r="K90" s="97">
        <v>0</v>
      </c>
      <c r="L90" s="97">
        <v>4</v>
      </c>
      <c r="M90" s="97">
        <f>SUM(I90:L90)</f>
        <v>9</v>
      </c>
      <c r="N90" s="35"/>
      <c r="O90" s="40" t="s">
        <v>211</v>
      </c>
      <c r="P90" s="87"/>
    </row>
    <row r="91" spans="1:16" ht="18.75" customHeight="1" x14ac:dyDescent="0.3">
      <c r="A91" s="16"/>
      <c r="B91" s="14"/>
      <c r="C91" s="15"/>
      <c r="D91" s="26"/>
      <c r="E91" s="101" t="s">
        <v>220</v>
      </c>
      <c r="F91" s="96">
        <f>5%*D90</f>
        <v>14.8475</v>
      </c>
      <c r="G91" s="97"/>
      <c r="H91" s="96">
        <f>SUM(F91:G91)</f>
        <v>14.8475</v>
      </c>
      <c r="I91" s="97"/>
      <c r="J91" s="97"/>
      <c r="K91" s="97"/>
      <c r="L91" s="97"/>
      <c r="M91" s="97"/>
      <c r="N91" s="35"/>
      <c r="O91" s="40"/>
      <c r="P91" s="87"/>
    </row>
    <row r="92" spans="1:16" ht="32.25" customHeight="1" x14ac:dyDescent="0.3">
      <c r="A92" s="16"/>
      <c r="B92" s="14" t="s">
        <v>58</v>
      </c>
      <c r="C92" s="15" t="s">
        <v>42</v>
      </c>
      <c r="D92" s="26">
        <v>190.5</v>
      </c>
      <c r="E92" s="101" t="s">
        <v>203</v>
      </c>
      <c r="F92" s="96">
        <f>10%*D92</f>
        <v>19.05</v>
      </c>
      <c r="G92" s="97">
        <v>0</v>
      </c>
      <c r="H92" s="96">
        <f t="shared" si="22"/>
        <v>19.05</v>
      </c>
      <c r="I92" s="97">
        <v>0</v>
      </c>
      <c r="J92" s="97"/>
      <c r="K92" s="97">
        <v>0</v>
      </c>
      <c r="L92" s="97">
        <v>4</v>
      </c>
      <c r="M92" s="97">
        <f>SUM(I92:L92)</f>
        <v>4</v>
      </c>
      <c r="N92" s="35"/>
      <c r="O92" s="40" t="s">
        <v>219</v>
      </c>
      <c r="P92" s="87"/>
    </row>
    <row r="93" spans="1:16" ht="18.75" customHeight="1" x14ac:dyDescent="0.3">
      <c r="A93" s="16"/>
      <c r="B93" s="14"/>
      <c r="C93" s="15"/>
      <c r="D93" s="26"/>
      <c r="E93" s="101" t="s">
        <v>220</v>
      </c>
      <c r="F93" s="96">
        <f>10%*D92</f>
        <v>19.05</v>
      </c>
      <c r="G93" s="97"/>
      <c r="H93" s="96">
        <f>SUM(F93:G93)</f>
        <v>19.05</v>
      </c>
      <c r="I93" s="97"/>
      <c r="J93" s="97"/>
      <c r="K93" s="97"/>
      <c r="L93" s="97"/>
      <c r="M93" s="97"/>
      <c r="N93" s="35"/>
      <c r="O93" s="40"/>
      <c r="P93" s="87"/>
    </row>
    <row r="94" spans="1:16" ht="22.5" customHeight="1" x14ac:dyDescent="0.3">
      <c r="A94" s="16"/>
      <c r="B94" s="14" t="s">
        <v>59</v>
      </c>
      <c r="C94" s="15" t="s">
        <v>21</v>
      </c>
      <c r="D94" s="18" t="s">
        <v>201</v>
      </c>
      <c r="E94" s="101" t="s">
        <v>203</v>
      </c>
      <c r="F94" s="145"/>
      <c r="G94" s="145">
        <v>4</v>
      </c>
      <c r="H94" s="96">
        <f t="shared" si="22"/>
        <v>4</v>
      </c>
      <c r="I94" s="97">
        <v>0</v>
      </c>
      <c r="J94" s="97"/>
      <c r="K94" s="97">
        <v>0</v>
      </c>
      <c r="L94" s="97">
        <v>2</v>
      </c>
      <c r="M94" s="97">
        <f>SUM(I94:L94)</f>
        <v>2</v>
      </c>
      <c r="N94" s="35"/>
      <c r="O94" s="36"/>
      <c r="P94" s="87"/>
    </row>
    <row r="95" spans="1:16" ht="18.75" customHeight="1" x14ac:dyDescent="0.3">
      <c r="A95" s="16"/>
      <c r="B95" s="14"/>
      <c r="C95" s="15"/>
      <c r="D95" s="18"/>
      <c r="E95" s="101" t="s">
        <v>220</v>
      </c>
      <c r="F95" s="145"/>
      <c r="G95" s="97">
        <v>5</v>
      </c>
      <c r="H95" s="96">
        <f>SUM(F95:G95)</f>
        <v>5</v>
      </c>
      <c r="I95" s="97"/>
      <c r="J95" s="97"/>
      <c r="K95" s="97"/>
      <c r="L95" s="97"/>
      <c r="M95" s="97"/>
      <c r="N95" s="35"/>
      <c r="O95" s="36"/>
      <c r="P95" s="87"/>
    </row>
    <row r="96" spans="1:16" ht="24" customHeight="1" x14ac:dyDescent="0.3">
      <c r="A96" s="16"/>
      <c r="B96" s="14" t="s">
        <v>60</v>
      </c>
      <c r="C96" s="15" t="s">
        <v>43</v>
      </c>
      <c r="D96" s="26">
        <v>244.8</v>
      </c>
      <c r="E96" s="101" t="s">
        <v>221</v>
      </c>
      <c r="F96" s="96">
        <f>10%*D96</f>
        <v>24.480000000000004</v>
      </c>
      <c r="G96" s="97">
        <v>0</v>
      </c>
      <c r="H96" s="96">
        <f t="shared" si="22"/>
        <v>24.480000000000004</v>
      </c>
      <c r="I96" s="97">
        <v>0</v>
      </c>
      <c r="J96" s="97">
        <v>10</v>
      </c>
      <c r="K96" s="97">
        <v>0</v>
      </c>
      <c r="L96" s="97">
        <v>5</v>
      </c>
      <c r="M96" s="97">
        <f>SUM(I96:L96)</f>
        <v>15</v>
      </c>
      <c r="N96" s="35"/>
      <c r="O96" s="36"/>
      <c r="P96" s="87"/>
    </row>
    <row r="97" spans="1:16" ht="20.25" customHeight="1" x14ac:dyDescent="0.3">
      <c r="A97" s="16"/>
      <c r="B97" s="14"/>
      <c r="C97" s="15"/>
      <c r="D97" s="26"/>
      <c r="E97" s="101" t="s">
        <v>220</v>
      </c>
      <c r="F97" s="96"/>
      <c r="G97" s="96">
        <f>15%*D96</f>
        <v>36.72</v>
      </c>
      <c r="H97" s="96">
        <f>SUM(F97:G97)</f>
        <v>36.72</v>
      </c>
      <c r="I97" s="97"/>
      <c r="J97" s="97"/>
      <c r="K97" s="97"/>
      <c r="L97" s="97"/>
      <c r="M97" s="97"/>
      <c r="N97" s="35"/>
      <c r="O97" s="36"/>
      <c r="P97" s="87"/>
    </row>
    <row r="98" spans="1:16" ht="23.25" customHeight="1" x14ac:dyDescent="0.3">
      <c r="A98" s="16"/>
      <c r="B98" s="14" t="s">
        <v>61</v>
      </c>
      <c r="C98" s="15" t="s">
        <v>44</v>
      </c>
      <c r="D98" s="26">
        <v>57.95</v>
      </c>
      <c r="E98" s="101" t="s">
        <v>203</v>
      </c>
      <c r="F98" s="26">
        <f>15%*D98</f>
        <v>8.6925000000000008</v>
      </c>
      <c r="G98" s="19">
        <v>0</v>
      </c>
      <c r="H98" s="26">
        <f t="shared" si="22"/>
        <v>8.6925000000000008</v>
      </c>
      <c r="I98" s="19">
        <v>0</v>
      </c>
      <c r="J98" s="19"/>
      <c r="K98" s="19"/>
      <c r="L98" s="19">
        <v>0</v>
      </c>
      <c r="M98" s="19">
        <f t="shared" ref="M98:M101" si="23">SUM(I98:L98)</f>
        <v>0</v>
      </c>
      <c r="N98" s="35"/>
      <c r="O98" s="36"/>
      <c r="P98" s="87"/>
    </row>
    <row r="99" spans="1:16" ht="18.75" customHeight="1" x14ac:dyDescent="0.3">
      <c r="A99" s="16"/>
      <c r="B99" s="14"/>
      <c r="C99" s="15"/>
      <c r="D99" s="26"/>
      <c r="E99" s="101" t="s">
        <v>220</v>
      </c>
      <c r="F99" s="26"/>
      <c r="G99" s="26">
        <f>10%*D98</f>
        <v>5.7950000000000008</v>
      </c>
      <c r="H99" s="26">
        <f>SUM(F99:G99)</f>
        <v>5.7950000000000008</v>
      </c>
      <c r="I99" s="97">
        <v>0</v>
      </c>
      <c r="J99" s="97">
        <v>0</v>
      </c>
      <c r="K99" s="97">
        <v>0</v>
      </c>
      <c r="L99" s="97">
        <v>0</v>
      </c>
      <c r="M99" s="97">
        <f t="shared" si="23"/>
        <v>0</v>
      </c>
      <c r="N99" s="35"/>
      <c r="O99" s="36"/>
      <c r="P99" s="87"/>
    </row>
    <row r="100" spans="1:16" ht="18.75" customHeight="1" x14ac:dyDescent="0.3">
      <c r="A100" s="16"/>
      <c r="B100" s="14" t="s">
        <v>62</v>
      </c>
      <c r="C100" s="15" t="s">
        <v>27</v>
      </c>
      <c r="D100" s="26">
        <v>2.5</v>
      </c>
      <c r="E100" s="101" t="s">
        <v>203</v>
      </c>
      <c r="F100" s="96">
        <f>10%*D100</f>
        <v>0.25</v>
      </c>
      <c r="G100" s="97">
        <v>0</v>
      </c>
      <c r="H100" s="96">
        <f t="shared" si="22"/>
        <v>0.25</v>
      </c>
      <c r="I100" s="97">
        <v>0</v>
      </c>
      <c r="J100" s="97">
        <v>0</v>
      </c>
      <c r="K100" s="97">
        <v>0</v>
      </c>
      <c r="L100" s="97">
        <v>0</v>
      </c>
      <c r="M100" s="97">
        <f t="shared" si="23"/>
        <v>0</v>
      </c>
      <c r="N100" s="35"/>
      <c r="O100" s="36"/>
      <c r="P100" s="87"/>
    </row>
    <row r="101" spans="1:16" ht="18.75" customHeight="1" x14ac:dyDescent="0.3">
      <c r="A101" s="87"/>
      <c r="B101" s="55"/>
      <c r="C101" s="56"/>
      <c r="D101" s="57"/>
      <c r="E101" s="132" t="s">
        <v>220</v>
      </c>
      <c r="F101" s="124">
        <f>12%*D100</f>
        <v>0.3</v>
      </c>
      <c r="G101" s="124">
        <f>15%*D100</f>
        <v>0.375</v>
      </c>
      <c r="H101" s="124">
        <f>SUM(F101:G101)</f>
        <v>0.67500000000000004</v>
      </c>
      <c r="I101" s="133">
        <v>0</v>
      </c>
      <c r="J101" s="133">
        <v>0</v>
      </c>
      <c r="K101" s="133">
        <v>0</v>
      </c>
      <c r="L101" s="133">
        <v>0</v>
      </c>
      <c r="M101" s="133">
        <f t="shared" si="23"/>
        <v>0</v>
      </c>
      <c r="N101" s="80"/>
      <c r="O101" s="81"/>
      <c r="P101" s="87"/>
    </row>
    <row r="102" spans="1:16" ht="18.75" customHeight="1" x14ac:dyDescent="0.3">
      <c r="A102" s="75"/>
      <c r="B102" s="71"/>
      <c r="C102" s="72"/>
      <c r="D102" s="73">
        <f>SUM(D90:D101)</f>
        <v>792.7</v>
      </c>
      <c r="E102" s="74"/>
      <c r="F102" s="73">
        <f>SUM(F83:F101)</f>
        <v>159.77780000000001</v>
      </c>
      <c r="G102" s="83">
        <f>SUM(G83:G101)</f>
        <v>51.89</v>
      </c>
      <c r="H102" s="73">
        <f>SUM(H83:H101)</f>
        <v>211.6678</v>
      </c>
      <c r="I102" s="83">
        <f>SUM(I90:I101)</f>
        <v>0</v>
      </c>
      <c r="J102" s="83">
        <f>SUM(J90:J101)</f>
        <v>15</v>
      </c>
      <c r="K102" s="83">
        <f>SUM(K90:K101)</f>
        <v>0</v>
      </c>
      <c r="L102" s="83">
        <f>SUM(L90:L101)</f>
        <v>15</v>
      </c>
      <c r="M102" s="83">
        <f>SUM(M89:M101)</f>
        <v>30</v>
      </c>
      <c r="N102" s="71"/>
      <c r="O102" s="72"/>
      <c r="P102" s="75"/>
    </row>
    <row r="103" spans="1:16" ht="8.25" customHeight="1" x14ac:dyDescent="0.3">
      <c r="F103" s="2"/>
      <c r="G103" s="2"/>
      <c r="H103" s="2"/>
      <c r="I103" s="2"/>
      <c r="J103" s="2"/>
      <c r="K103" s="2"/>
      <c r="L103" s="2"/>
      <c r="M103" s="2"/>
    </row>
    <row r="104" spans="1:16" ht="14.25" customHeight="1" x14ac:dyDescent="0.3">
      <c r="F104" s="2"/>
      <c r="G104" s="2"/>
      <c r="H104" s="2"/>
      <c r="I104" s="2"/>
      <c r="J104" s="2" t="s">
        <v>241</v>
      </c>
      <c r="K104" s="2"/>
      <c r="L104" s="2"/>
      <c r="M104" s="2"/>
    </row>
    <row r="105" spans="1:16" ht="12" customHeight="1" x14ac:dyDescent="0.3">
      <c r="A105" s="395" t="s">
        <v>80</v>
      </c>
      <c r="B105" s="395"/>
      <c r="C105" s="395"/>
      <c r="D105" s="395"/>
    </row>
    <row r="106" spans="1:16" x14ac:dyDescent="0.3">
      <c r="A106" s="395" t="s">
        <v>81</v>
      </c>
      <c r="B106" s="395"/>
      <c r="C106" s="395"/>
      <c r="D106" s="395"/>
      <c r="J106" s="1" t="s">
        <v>85</v>
      </c>
    </row>
    <row r="107" spans="1:16" x14ac:dyDescent="0.3">
      <c r="A107" s="395" t="s">
        <v>82</v>
      </c>
      <c r="B107" s="395"/>
      <c r="C107" s="395"/>
      <c r="D107" s="395"/>
      <c r="J107" s="3" t="s">
        <v>86</v>
      </c>
      <c r="K107" s="1" t="s">
        <v>87</v>
      </c>
      <c r="O107" s="1" t="s">
        <v>90</v>
      </c>
    </row>
    <row r="108" spans="1:16" x14ac:dyDescent="0.3">
      <c r="A108" s="395" t="s">
        <v>83</v>
      </c>
      <c r="B108" s="395"/>
      <c r="C108" s="395"/>
      <c r="D108" s="395"/>
      <c r="K108" s="1" t="s">
        <v>91</v>
      </c>
    </row>
    <row r="109" spans="1:16" ht="13.5" customHeight="1" x14ac:dyDescent="0.3"/>
    <row r="110" spans="1:16" ht="13.5" customHeight="1" x14ac:dyDescent="0.3"/>
    <row r="111" spans="1:16" x14ac:dyDescent="0.3">
      <c r="A111" s="398" t="s">
        <v>175</v>
      </c>
      <c r="B111" s="398"/>
      <c r="C111" s="398"/>
      <c r="D111" s="398"/>
      <c r="J111" s="3" t="s">
        <v>88</v>
      </c>
      <c r="K111" s="1" t="s">
        <v>89</v>
      </c>
      <c r="O111" s="1" t="s">
        <v>90</v>
      </c>
    </row>
    <row r="112" spans="1:16" x14ac:dyDescent="0.3">
      <c r="A112" s="395" t="s">
        <v>190</v>
      </c>
      <c r="B112" s="395"/>
      <c r="C112" s="395"/>
      <c r="D112" s="395"/>
      <c r="K112" s="1" t="s">
        <v>92</v>
      </c>
    </row>
  </sheetData>
  <mergeCells count="17">
    <mergeCell ref="A1:P1"/>
    <mergeCell ref="A6:A7"/>
    <mergeCell ref="B6:C6"/>
    <mergeCell ref="D6:D7"/>
    <mergeCell ref="E6:E7"/>
    <mergeCell ref="F6:H6"/>
    <mergeCell ref="I6:M6"/>
    <mergeCell ref="N6:O7"/>
    <mergeCell ref="P6:P7"/>
    <mergeCell ref="B7:C7"/>
    <mergeCell ref="A112:D112"/>
    <mergeCell ref="O23:O27"/>
    <mergeCell ref="A105:D105"/>
    <mergeCell ref="A106:D106"/>
    <mergeCell ref="A107:D107"/>
    <mergeCell ref="A108:D108"/>
    <mergeCell ref="A111:D111"/>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P112"/>
  <sheetViews>
    <sheetView view="pageBreakPreview" topLeftCell="A97" zoomScale="96" zoomScaleNormal="100" zoomScaleSheetLayoutView="96" workbookViewId="0">
      <selection activeCell="J91" sqref="J91"/>
    </sheetView>
  </sheetViews>
  <sheetFormatPr defaultColWidth="9.1796875" defaultRowHeight="14" x14ac:dyDescent="0.3"/>
  <cols>
    <col min="1" max="1" width="9" style="1" customWidth="1"/>
    <col min="2" max="2" width="2.1796875" style="1" customWidth="1"/>
    <col min="3" max="3" width="19" style="1" customWidth="1"/>
    <col min="4" max="4" width="11.54296875" style="1" customWidth="1"/>
    <col min="5" max="5" width="27" style="1" customWidth="1"/>
    <col min="6" max="6" width="9" style="1" bestFit="1" customWidth="1"/>
    <col min="7" max="7" width="8.81640625" style="1" customWidth="1"/>
    <col min="8" max="8" width="9" style="1" customWidth="1"/>
    <col min="9" max="9" width="6.453125" style="1" bestFit="1" customWidth="1"/>
    <col min="10" max="10" width="6.81640625" style="1" bestFit="1" customWidth="1"/>
    <col min="11" max="11" width="8.26953125" style="1" customWidth="1"/>
    <col min="12" max="12" width="5.54296875" style="1" bestFit="1" customWidth="1"/>
    <col min="13" max="13" width="6.81640625" style="1" bestFit="1" customWidth="1"/>
    <col min="14" max="14" width="2.1796875" style="1" customWidth="1"/>
    <col min="15" max="15" width="27.81640625" style="1" customWidth="1"/>
    <col min="16" max="16" width="10.26953125" style="1" customWidth="1"/>
    <col min="17" max="16384" width="9.1796875" style="1"/>
  </cols>
  <sheetData>
    <row r="1" spans="1:16" x14ac:dyDescent="0.3">
      <c r="A1" s="385" t="s">
        <v>177</v>
      </c>
      <c r="B1" s="385"/>
      <c r="C1" s="385"/>
      <c r="D1" s="385"/>
      <c r="E1" s="385"/>
      <c r="F1" s="385"/>
      <c r="G1" s="385"/>
      <c r="H1" s="385"/>
      <c r="I1" s="385"/>
      <c r="J1" s="385"/>
      <c r="K1" s="385"/>
      <c r="L1" s="385"/>
      <c r="M1" s="385"/>
      <c r="N1" s="385"/>
      <c r="O1" s="385"/>
      <c r="P1" s="385"/>
    </row>
    <row r="2" spans="1:16" ht="14.25" customHeight="1" x14ac:dyDescent="0.3"/>
    <row r="3" spans="1:16" ht="14.25" customHeight="1" x14ac:dyDescent="0.3">
      <c r="A3" s="1" t="s">
        <v>1</v>
      </c>
      <c r="B3" s="1" t="s">
        <v>78</v>
      </c>
      <c r="C3" s="1" t="s">
        <v>77</v>
      </c>
    </row>
    <row r="4" spans="1:16" ht="14.25" customHeight="1" x14ac:dyDescent="0.3">
      <c r="A4" s="1" t="s">
        <v>2</v>
      </c>
      <c r="B4" s="1" t="s">
        <v>78</v>
      </c>
      <c r="C4" s="4" t="s">
        <v>245</v>
      </c>
    </row>
    <row r="6" spans="1:16" x14ac:dyDescent="0.3">
      <c r="A6" s="386" t="s">
        <v>3</v>
      </c>
      <c r="B6" s="388" t="s">
        <v>4</v>
      </c>
      <c r="C6" s="388"/>
      <c r="D6" s="389" t="s">
        <v>6</v>
      </c>
      <c r="E6" s="391" t="s">
        <v>7</v>
      </c>
      <c r="F6" s="393" t="s">
        <v>170</v>
      </c>
      <c r="G6" s="393"/>
      <c r="H6" s="393"/>
      <c r="I6" s="393" t="s">
        <v>12</v>
      </c>
      <c r="J6" s="393"/>
      <c r="K6" s="393"/>
      <c r="L6" s="393"/>
      <c r="M6" s="393"/>
      <c r="N6" s="391" t="s">
        <v>17</v>
      </c>
      <c r="O6" s="391"/>
      <c r="P6" s="386" t="s">
        <v>192</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ht="18.75" customHeight="1" x14ac:dyDescent="0.3">
      <c r="A9" s="13">
        <v>1</v>
      </c>
      <c r="B9" s="14" t="s">
        <v>20</v>
      </c>
      <c r="C9" s="15"/>
      <c r="D9" s="16"/>
      <c r="E9" s="47"/>
      <c r="F9" s="16"/>
      <c r="G9" s="16"/>
      <c r="H9" s="16"/>
      <c r="I9" s="16"/>
      <c r="J9" s="16"/>
      <c r="K9" s="16"/>
      <c r="L9" s="16"/>
      <c r="M9" s="16"/>
      <c r="N9" s="35"/>
      <c r="O9" s="36"/>
      <c r="P9" s="16"/>
    </row>
    <row r="10" spans="1:16" ht="18.75" customHeight="1" x14ac:dyDescent="0.3">
      <c r="A10" s="13"/>
      <c r="B10" s="17" t="s">
        <v>57</v>
      </c>
      <c r="C10" s="15" t="s">
        <v>21</v>
      </c>
      <c r="D10" s="18">
        <v>409.08</v>
      </c>
      <c r="E10" s="47" t="s">
        <v>36</v>
      </c>
      <c r="F10" s="26">
        <f>6%*D10</f>
        <v>24.544799999999999</v>
      </c>
      <c r="G10" s="26">
        <f>2%*D10</f>
        <v>8.1815999999999995</v>
      </c>
      <c r="H10" s="26">
        <f>SUM(F10:G10)</f>
        <v>32.726399999999998</v>
      </c>
      <c r="I10" s="19">
        <v>0</v>
      </c>
      <c r="J10" s="19"/>
      <c r="K10" s="19">
        <v>4</v>
      </c>
      <c r="L10" s="19"/>
      <c r="M10" s="20">
        <f>SUM(I10:L10)</f>
        <v>4</v>
      </c>
      <c r="N10" s="37"/>
      <c r="O10" s="36"/>
      <c r="P10" s="16"/>
    </row>
    <row r="11" spans="1:16" ht="18.75" customHeight="1" x14ac:dyDescent="0.3">
      <c r="A11" s="13"/>
      <c r="B11" s="14"/>
      <c r="C11" s="15"/>
      <c r="D11" s="18"/>
      <c r="E11" s="47" t="s">
        <v>37</v>
      </c>
      <c r="F11" s="26">
        <f>10%*D10</f>
        <v>40.908000000000001</v>
      </c>
      <c r="G11" s="26">
        <f>2%*D10</f>
        <v>8.1815999999999995</v>
      </c>
      <c r="H11" s="26">
        <f>SUM(F11:G11)</f>
        <v>49.089600000000004</v>
      </c>
      <c r="I11" s="19">
        <v>0</v>
      </c>
      <c r="J11" s="19"/>
      <c r="K11" s="19">
        <v>4</v>
      </c>
      <c r="L11" s="19">
        <v>0</v>
      </c>
      <c r="M11" s="20">
        <f t="shared" ref="M11:M20" si="0">SUM(I11:L11)</f>
        <v>4</v>
      </c>
      <c r="N11" s="37" t="s">
        <v>51</v>
      </c>
      <c r="O11" s="38" t="s">
        <v>50</v>
      </c>
      <c r="P11" s="16"/>
    </row>
    <row r="12" spans="1:16" ht="18.75" customHeight="1" x14ac:dyDescent="0.3">
      <c r="A12" s="13"/>
      <c r="B12" s="14"/>
      <c r="C12" s="15"/>
      <c r="D12" s="18"/>
      <c r="E12" s="47" t="s">
        <v>38</v>
      </c>
      <c r="F12" s="26">
        <f>10%*D10</f>
        <v>40.908000000000001</v>
      </c>
      <c r="G12" s="26">
        <f>5%*D10</f>
        <v>20.454000000000001</v>
      </c>
      <c r="H12" s="26">
        <f>SUM(F12:G12)</f>
        <v>61.362000000000002</v>
      </c>
      <c r="I12" s="19">
        <v>0</v>
      </c>
      <c r="J12" s="19"/>
      <c r="K12" s="19">
        <v>4</v>
      </c>
      <c r="L12" s="19">
        <v>0</v>
      </c>
      <c r="M12" s="20">
        <f t="shared" si="0"/>
        <v>4</v>
      </c>
      <c r="N12" s="37" t="s">
        <v>51</v>
      </c>
      <c r="O12" s="36" t="s">
        <v>49</v>
      </c>
      <c r="P12" s="16"/>
    </row>
    <row r="13" spans="1:16" ht="28.5" customHeight="1" x14ac:dyDescent="0.3">
      <c r="A13" s="13"/>
      <c r="B13" s="14"/>
      <c r="C13" s="15"/>
      <c r="D13" s="18"/>
      <c r="E13" s="48" t="s">
        <v>39</v>
      </c>
      <c r="F13" s="26">
        <f>39%*D10</f>
        <v>159.5412</v>
      </c>
      <c r="G13" s="26">
        <f>3%*D10</f>
        <v>12.272399999999999</v>
      </c>
      <c r="H13" s="26">
        <f>SUM(F13:G13)</f>
        <v>171.81360000000001</v>
      </c>
      <c r="I13" s="22">
        <v>0</v>
      </c>
      <c r="J13" s="22">
        <v>0</v>
      </c>
      <c r="K13" s="22">
        <v>0</v>
      </c>
      <c r="L13" s="22">
        <v>0</v>
      </c>
      <c r="M13" s="23">
        <f t="shared" si="0"/>
        <v>0</v>
      </c>
      <c r="N13" s="39" t="s">
        <v>51</v>
      </c>
      <c r="O13" s="40" t="s">
        <v>48</v>
      </c>
      <c r="P13" s="16"/>
    </row>
    <row r="14" spans="1:16" ht="18.75" customHeight="1" x14ac:dyDescent="0.3">
      <c r="A14" s="13"/>
      <c r="B14" s="17" t="s">
        <v>58</v>
      </c>
      <c r="C14" s="15" t="s">
        <v>22</v>
      </c>
      <c r="D14" s="18">
        <v>728.56</v>
      </c>
      <c r="E14" s="47" t="s">
        <v>36</v>
      </c>
      <c r="F14" s="26">
        <f>5%*D14</f>
        <v>36.427999999999997</v>
      </c>
      <c r="G14" s="26">
        <f>2%*D14</f>
        <v>14.571199999999999</v>
      </c>
      <c r="H14" s="26">
        <f>SUM(F14:G14)</f>
        <v>50.999199999999995</v>
      </c>
      <c r="I14" s="19">
        <v>0</v>
      </c>
      <c r="J14" s="19"/>
      <c r="K14" s="19">
        <v>5</v>
      </c>
      <c r="L14" s="19">
        <v>0</v>
      </c>
      <c r="M14" s="20">
        <f t="shared" si="0"/>
        <v>5</v>
      </c>
      <c r="N14" s="35"/>
      <c r="O14" s="41"/>
      <c r="P14" s="16"/>
    </row>
    <row r="15" spans="1:16" ht="18.75" customHeight="1" x14ac:dyDescent="0.3">
      <c r="A15" s="13"/>
      <c r="B15" s="14"/>
      <c r="C15" s="15"/>
      <c r="D15" s="26"/>
      <c r="E15" s="47" t="s">
        <v>37</v>
      </c>
      <c r="F15" s="26">
        <f>4%*D14</f>
        <v>29.142399999999999</v>
      </c>
      <c r="G15" s="26">
        <f>3%*D14</f>
        <v>21.856799999999996</v>
      </c>
      <c r="H15" s="26">
        <f t="shared" ref="H15:H17" si="1">SUM(F15:G15)</f>
        <v>50.999199999999995</v>
      </c>
      <c r="I15" s="19">
        <v>0</v>
      </c>
      <c r="J15" s="19"/>
      <c r="K15" s="19">
        <v>5</v>
      </c>
      <c r="L15" s="19">
        <v>0</v>
      </c>
      <c r="M15" s="20">
        <f t="shared" si="0"/>
        <v>5</v>
      </c>
      <c r="N15" s="35"/>
      <c r="O15" s="36"/>
      <c r="P15" s="16"/>
    </row>
    <row r="16" spans="1:16" ht="18.75" customHeight="1" x14ac:dyDescent="0.3">
      <c r="A16" s="13"/>
      <c r="B16" s="14"/>
      <c r="C16" s="15"/>
      <c r="D16" s="26"/>
      <c r="E16" s="47" t="s">
        <v>38</v>
      </c>
      <c r="F16" s="26">
        <f>4%*D14</f>
        <v>29.142399999999999</v>
      </c>
      <c r="G16" s="26">
        <f>4%*D14</f>
        <v>29.142399999999999</v>
      </c>
      <c r="H16" s="26">
        <f t="shared" si="1"/>
        <v>58.284799999999997</v>
      </c>
      <c r="I16" s="19">
        <v>0</v>
      </c>
      <c r="J16" s="19"/>
      <c r="K16" s="19">
        <v>5</v>
      </c>
      <c r="L16" s="19">
        <v>0</v>
      </c>
      <c r="M16" s="20">
        <f t="shared" si="0"/>
        <v>5</v>
      </c>
      <c r="N16" s="35"/>
      <c r="O16" s="36"/>
      <c r="P16" s="16"/>
    </row>
    <row r="17" spans="1:16" ht="29.25" customHeight="1" x14ac:dyDescent="0.3">
      <c r="A17" s="54"/>
      <c r="B17" s="55"/>
      <c r="C17" s="56"/>
      <c r="D17" s="57"/>
      <c r="E17" s="58" t="s">
        <v>39</v>
      </c>
      <c r="F17" s="119">
        <f>6%*D14</f>
        <v>43.713599999999992</v>
      </c>
      <c r="G17" s="119">
        <f>12%*D14</f>
        <v>87.427199999999985</v>
      </c>
      <c r="H17" s="119">
        <f t="shared" si="1"/>
        <v>131.14079999999998</v>
      </c>
      <c r="I17" s="59">
        <v>0</v>
      </c>
      <c r="J17" s="59">
        <v>0</v>
      </c>
      <c r="K17" s="59">
        <v>0</v>
      </c>
      <c r="L17" s="59">
        <v>0</v>
      </c>
      <c r="M17" s="60">
        <f t="shared" si="0"/>
        <v>0</v>
      </c>
      <c r="N17" s="61"/>
      <c r="O17" s="62"/>
      <c r="P17" s="88"/>
    </row>
    <row r="18" spans="1:16" ht="18.75" customHeight="1" x14ac:dyDescent="0.3">
      <c r="A18" s="13"/>
      <c r="B18" s="17" t="s">
        <v>58</v>
      </c>
      <c r="C18" s="15" t="s">
        <v>27</v>
      </c>
      <c r="D18" s="18">
        <v>88.7</v>
      </c>
      <c r="E18" s="47" t="s">
        <v>36</v>
      </c>
      <c r="F18" s="26">
        <f>7%*D18</f>
        <v>6.2090000000000005</v>
      </c>
      <c r="G18" s="26">
        <f>5%*D18</f>
        <v>4.4350000000000005</v>
      </c>
      <c r="H18" s="26">
        <f>SUM(F18:G18)</f>
        <v>10.644000000000002</v>
      </c>
      <c r="I18" s="19">
        <v>0</v>
      </c>
      <c r="J18" s="19"/>
      <c r="K18" s="19">
        <v>4</v>
      </c>
      <c r="L18" s="19">
        <v>0</v>
      </c>
      <c r="M18" s="20">
        <f t="shared" si="0"/>
        <v>4</v>
      </c>
      <c r="N18" s="35"/>
      <c r="O18" s="41"/>
      <c r="P18" s="144"/>
    </row>
    <row r="19" spans="1:16" ht="18.75" customHeight="1" x14ac:dyDescent="0.3">
      <c r="A19" s="13"/>
      <c r="B19" s="14"/>
      <c r="C19" s="15"/>
      <c r="D19" s="26"/>
      <c r="E19" s="47" t="s">
        <v>37</v>
      </c>
      <c r="F19" s="26">
        <f>6%*D18</f>
        <v>5.3220000000000001</v>
      </c>
      <c r="G19" s="26">
        <f>5%*D18</f>
        <v>4.4350000000000005</v>
      </c>
      <c r="H19" s="26">
        <f t="shared" ref="H19:H20" si="2">SUM(F19:G19)</f>
        <v>9.7570000000000014</v>
      </c>
      <c r="I19" s="19">
        <v>0</v>
      </c>
      <c r="J19" s="19"/>
      <c r="K19" s="19">
        <v>4</v>
      </c>
      <c r="L19" s="19">
        <v>0</v>
      </c>
      <c r="M19" s="20">
        <f t="shared" si="0"/>
        <v>4</v>
      </c>
      <c r="N19" s="35"/>
      <c r="O19" s="36"/>
      <c r="P19" s="144"/>
    </row>
    <row r="20" spans="1:16" ht="18.75" customHeight="1" x14ac:dyDescent="0.3">
      <c r="A20" s="13"/>
      <c r="B20" s="14"/>
      <c r="C20" s="15"/>
      <c r="D20" s="26"/>
      <c r="E20" s="47" t="s">
        <v>38</v>
      </c>
      <c r="F20" s="26">
        <f>8%*D18</f>
        <v>7.0960000000000001</v>
      </c>
      <c r="G20" s="26">
        <f>50%*D18</f>
        <v>44.35</v>
      </c>
      <c r="H20" s="26">
        <f t="shared" si="2"/>
        <v>51.445999999999998</v>
      </c>
      <c r="I20" s="19">
        <v>0</v>
      </c>
      <c r="J20" s="19"/>
      <c r="K20" s="19">
        <v>4</v>
      </c>
      <c r="L20" s="19">
        <v>0</v>
      </c>
      <c r="M20" s="20">
        <f t="shared" si="0"/>
        <v>4</v>
      </c>
      <c r="N20" s="35"/>
      <c r="O20" s="36"/>
      <c r="P20" s="144"/>
    </row>
    <row r="21" spans="1:16" ht="18.75" customHeight="1" x14ac:dyDescent="0.3">
      <c r="A21" s="89"/>
      <c r="B21" s="71"/>
      <c r="C21" s="72"/>
      <c r="D21" s="73">
        <f>SUM(D9:D17)</f>
        <v>1137.6399999999999</v>
      </c>
      <c r="E21" s="74"/>
      <c r="F21" s="118">
        <f>SUM(F9:F17)</f>
        <v>404.32839999999999</v>
      </c>
      <c r="G21" s="118">
        <f>SUM(G9:G17)</f>
        <v>202.08719999999997</v>
      </c>
      <c r="H21" s="118">
        <f>SUM(H9:H17)</f>
        <v>606.41559999999993</v>
      </c>
      <c r="I21" s="75">
        <f>SUM(I9:I17)</f>
        <v>0</v>
      </c>
      <c r="J21" s="75">
        <f>SUM(J9:J17)</f>
        <v>0</v>
      </c>
      <c r="K21" s="75">
        <f>SUM(K8:K20)</f>
        <v>39</v>
      </c>
      <c r="L21" s="75"/>
      <c r="M21" s="75">
        <f>SUM(M9:M17)</f>
        <v>27</v>
      </c>
      <c r="N21" s="76"/>
      <c r="O21" s="77"/>
      <c r="P21" s="75"/>
    </row>
    <row r="22" spans="1:16" ht="18.75" customHeight="1" x14ac:dyDescent="0.3">
      <c r="A22" s="63">
        <v>2</v>
      </c>
      <c r="B22" s="64" t="s">
        <v>23</v>
      </c>
      <c r="C22" s="65"/>
      <c r="D22" s="66"/>
      <c r="E22" s="67"/>
      <c r="F22" s="68"/>
      <c r="G22" s="68"/>
      <c r="H22" s="68"/>
      <c r="I22" s="68"/>
      <c r="J22" s="68"/>
      <c r="K22" s="68"/>
      <c r="L22" s="68"/>
      <c r="M22" s="68"/>
      <c r="N22" s="69"/>
      <c r="O22" s="70"/>
      <c r="P22" s="68"/>
    </row>
    <row r="23" spans="1:16" ht="18.75" customHeight="1" x14ac:dyDescent="0.3">
      <c r="A23" s="13"/>
      <c r="B23" s="14" t="s">
        <v>57</v>
      </c>
      <c r="C23" s="15" t="s">
        <v>22</v>
      </c>
      <c r="D23" s="26">
        <v>198</v>
      </c>
      <c r="E23" s="47" t="s">
        <v>40</v>
      </c>
      <c r="F23" s="19">
        <v>0</v>
      </c>
      <c r="G23" s="19">
        <f>9%*D23</f>
        <v>17.82</v>
      </c>
      <c r="H23" s="19">
        <f t="shared" ref="H23" si="3">SUM(F23:G23)</f>
        <v>17.82</v>
      </c>
      <c r="I23" s="19">
        <v>0</v>
      </c>
      <c r="J23" s="19">
        <v>0</v>
      </c>
      <c r="K23" s="19">
        <v>5</v>
      </c>
      <c r="L23" s="19">
        <v>0</v>
      </c>
      <c r="M23" s="20">
        <f t="shared" ref="M23" si="4">SUM(I23:L23)</f>
        <v>5</v>
      </c>
      <c r="N23" s="37" t="s">
        <v>51</v>
      </c>
      <c r="O23" s="399" t="s">
        <v>228</v>
      </c>
      <c r="P23" s="16"/>
    </row>
    <row r="24" spans="1:16" ht="18.75" customHeight="1" x14ac:dyDescent="0.3">
      <c r="A24" s="54"/>
      <c r="B24" s="55"/>
      <c r="C24" s="56"/>
      <c r="D24" s="57"/>
      <c r="E24" s="85"/>
      <c r="F24" s="79"/>
      <c r="G24" s="79"/>
      <c r="H24" s="79"/>
      <c r="I24" s="79"/>
      <c r="J24" s="79"/>
      <c r="K24" s="79"/>
      <c r="L24" s="79"/>
      <c r="M24" s="86"/>
      <c r="N24" s="95"/>
      <c r="O24" s="401"/>
      <c r="P24" s="87"/>
    </row>
    <row r="25" spans="1:16" ht="18.75" customHeight="1" x14ac:dyDescent="0.3">
      <c r="A25" s="54"/>
      <c r="B25" s="55" t="s">
        <v>58</v>
      </c>
      <c r="C25" s="56" t="s">
        <v>42</v>
      </c>
      <c r="D25" s="57">
        <v>55</v>
      </c>
      <c r="E25" s="47" t="s">
        <v>40</v>
      </c>
      <c r="F25" s="19">
        <v>0</v>
      </c>
      <c r="G25" s="19">
        <f>11%*D25</f>
        <v>6.05</v>
      </c>
      <c r="H25" s="19">
        <f t="shared" ref="H25" si="5">SUM(F25:G25)</f>
        <v>6.05</v>
      </c>
      <c r="I25" s="19">
        <v>0</v>
      </c>
      <c r="J25" s="19"/>
      <c r="K25" s="19">
        <v>10</v>
      </c>
      <c r="L25" s="19">
        <v>0</v>
      </c>
      <c r="M25" s="20">
        <f t="shared" ref="M25" si="6">SUM(I25:L25)</f>
        <v>10</v>
      </c>
      <c r="N25" s="95"/>
      <c r="O25" s="401"/>
      <c r="P25" s="87"/>
    </row>
    <row r="26" spans="1:16" ht="18.75" customHeight="1" x14ac:dyDescent="0.3">
      <c r="A26" s="54"/>
      <c r="B26" s="55"/>
      <c r="C26" s="56"/>
      <c r="D26" s="57"/>
      <c r="E26" s="85"/>
      <c r="F26" s="79"/>
      <c r="G26" s="79"/>
      <c r="H26" s="79"/>
      <c r="I26" s="79"/>
      <c r="J26" s="79"/>
      <c r="K26" s="79"/>
      <c r="L26" s="79"/>
      <c r="M26" s="86"/>
      <c r="N26" s="95"/>
      <c r="O26" s="401"/>
      <c r="P26" s="87"/>
    </row>
    <row r="27" spans="1:16" ht="18.75" customHeight="1" x14ac:dyDescent="0.3">
      <c r="A27" s="54"/>
      <c r="B27" s="55" t="s">
        <v>59</v>
      </c>
      <c r="C27" s="56" t="s">
        <v>21</v>
      </c>
      <c r="D27" s="57">
        <v>66.94</v>
      </c>
      <c r="E27" s="47" t="s">
        <v>40</v>
      </c>
      <c r="F27" s="19">
        <v>0</v>
      </c>
      <c r="G27" s="19">
        <f>12%*D27</f>
        <v>8.0327999999999999</v>
      </c>
      <c r="H27" s="19">
        <f t="shared" ref="H27" si="7">SUM(F27:G27)</f>
        <v>8.0327999999999999</v>
      </c>
      <c r="I27" s="19">
        <v>0</v>
      </c>
      <c r="J27" s="19">
        <v>0</v>
      </c>
      <c r="K27" s="19">
        <v>5</v>
      </c>
      <c r="L27" s="19">
        <v>0</v>
      </c>
      <c r="M27" s="20">
        <f t="shared" ref="M27" si="8">SUM(I27:L27)</f>
        <v>5</v>
      </c>
      <c r="N27" s="95"/>
      <c r="O27" s="401"/>
      <c r="P27" s="87"/>
    </row>
    <row r="28" spans="1:16" ht="18.75" customHeight="1" x14ac:dyDescent="0.3">
      <c r="A28" s="89"/>
      <c r="B28" s="71"/>
      <c r="C28" s="72"/>
      <c r="D28" s="73">
        <f>SUM(D22:D27)</f>
        <v>319.94</v>
      </c>
      <c r="E28" s="74"/>
      <c r="F28" s="83">
        <f t="shared" ref="F28:K28" si="9">SUM(F22:F27)</f>
        <v>0</v>
      </c>
      <c r="G28" s="83">
        <f t="shared" si="9"/>
        <v>31.902799999999999</v>
      </c>
      <c r="H28" s="83">
        <f t="shared" si="9"/>
        <v>31.902799999999999</v>
      </c>
      <c r="I28" s="83">
        <f t="shared" si="9"/>
        <v>0</v>
      </c>
      <c r="J28" s="83">
        <f t="shared" si="9"/>
        <v>0</v>
      </c>
      <c r="K28" s="83">
        <f t="shared" si="9"/>
        <v>20</v>
      </c>
      <c r="L28" s="83"/>
      <c r="M28" s="83">
        <f>SUM(M22:M27)</f>
        <v>20</v>
      </c>
      <c r="N28" s="76"/>
      <c r="O28" s="77"/>
      <c r="P28" s="75"/>
    </row>
    <row r="29" spans="1:16" ht="18.75" customHeight="1" x14ac:dyDescent="0.3">
      <c r="A29" s="63">
        <v>3</v>
      </c>
      <c r="B29" s="64" t="s">
        <v>19</v>
      </c>
      <c r="C29" s="65"/>
      <c r="D29" s="66"/>
      <c r="E29" s="67"/>
      <c r="F29" s="82"/>
      <c r="G29" s="82"/>
      <c r="H29" s="82"/>
      <c r="I29" s="82"/>
      <c r="J29" s="82"/>
      <c r="K29" s="82"/>
      <c r="L29" s="82"/>
      <c r="M29" s="82"/>
      <c r="N29" s="69"/>
      <c r="O29" s="70"/>
      <c r="P29" s="68"/>
    </row>
    <row r="30" spans="1:16" ht="18.75" customHeight="1" x14ac:dyDescent="0.3">
      <c r="A30" s="13"/>
      <c r="B30" s="14" t="s">
        <v>57</v>
      </c>
      <c r="C30" s="15" t="s">
        <v>24</v>
      </c>
      <c r="D30" s="26">
        <f>1372.4+494</f>
        <v>1866.4</v>
      </c>
      <c r="E30" s="50" t="s">
        <v>52</v>
      </c>
      <c r="F30" s="19">
        <v>0</v>
      </c>
      <c r="G30" s="26">
        <f>30%*D30</f>
        <v>559.91999999999996</v>
      </c>
      <c r="H30" s="26">
        <f>SUM(F30:G30)</f>
        <v>559.91999999999996</v>
      </c>
      <c r="I30" s="19">
        <v>0</v>
      </c>
      <c r="J30" s="19"/>
      <c r="K30" s="19">
        <v>2</v>
      </c>
      <c r="L30" s="19">
        <v>0</v>
      </c>
      <c r="M30" s="19">
        <f>SUM(I30:L30)</f>
        <v>2</v>
      </c>
      <c r="N30" s="35"/>
      <c r="O30" s="43" t="s">
        <v>242</v>
      </c>
      <c r="P30" s="16"/>
    </row>
    <row r="31" spans="1:16" ht="18.75" customHeight="1" x14ac:dyDescent="0.3">
      <c r="A31" s="13"/>
      <c r="B31" s="14"/>
      <c r="C31" s="15"/>
      <c r="D31" s="26"/>
      <c r="E31" s="47" t="s">
        <v>234</v>
      </c>
      <c r="F31" s="26"/>
      <c r="G31" s="26">
        <f>20%*D30</f>
        <v>373.28000000000003</v>
      </c>
      <c r="H31" s="26">
        <f>F31+G31</f>
        <v>373.28000000000003</v>
      </c>
      <c r="I31" s="19"/>
      <c r="J31" s="19"/>
      <c r="K31" s="19"/>
      <c r="L31" s="19"/>
      <c r="M31" s="19"/>
      <c r="N31" s="35"/>
      <c r="O31" s="43" t="s">
        <v>226</v>
      </c>
      <c r="P31" s="16"/>
    </row>
    <row r="32" spans="1:16" ht="18.75" customHeight="1" x14ac:dyDescent="0.3">
      <c r="A32" s="13"/>
      <c r="B32" s="14" t="s">
        <v>58</v>
      </c>
      <c r="C32" s="15" t="s">
        <v>25</v>
      </c>
      <c r="D32" s="26">
        <f>994.7+363.2</f>
        <v>1357.9</v>
      </c>
      <c r="E32" s="50" t="s">
        <v>52</v>
      </c>
      <c r="F32" s="19">
        <v>0</v>
      </c>
      <c r="G32" s="26">
        <f>20%*D32</f>
        <v>271.58000000000004</v>
      </c>
      <c r="H32" s="26">
        <f t="shared" ref="H32:H58" si="10">SUM(F32:G32)</f>
        <v>271.58000000000004</v>
      </c>
      <c r="I32" s="19">
        <v>0</v>
      </c>
      <c r="J32" s="19">
        <v>6</v>
      </c>
      <c r="K32" s="19">
        <v>6</v>
      </c>
      <c r="L32" s="19">
        <v>0</v>
      </c>
      <c r="M32" s="19">
        <f t="shared" ref="M32:M59" si="11">SUM(I32:L32)</f>
        <v>12</v>
      </c>
      <c r="N32" s="35"/>
      <c r="O32" s="43" t="s">
        <v>243</v>
      </c>
      <c r="P32" s="16"/>
    </row>
    <row r="33" spans="1:16" ht="18.75" customHeight="1" x14ac:dyDescent="0.3">
      <c r="A33" s="13"/>
      <c r="B33" s="14" t="s">
        <v>59</v>
      </c>
      <c r="C33" s="15" t="s">
        <v>26</v>
      </c>
      <c r="D33" s="26">
        <f>976.5+338</f>
        <v>1314.5</v>
      </c>
      <c r="E33" s="50" t="s">
        <v>52</v>
      </c>
      <c r="F33" s="19">
        <v>0</v>
      </c>
      <c r="G33" s="26">
        <f>30%*D33</f>
        <v>394.34999999999997</v>
      </c>
      <c r="H33" s="26">
        <f t="shared" si="10"/>
        <v>394.34999999999997</v>
      </c>
      <c r="I33" s="19">
        <v>20</v>
      </c>
      <c r="J33" s="19"/>
      <c r="K33" s="19">
        <v>0</v>
      </c>
      <c r="L33" s="19">
        <v>0</v>
      </c>
      <c r="M33" s="19">
        <f t="shared" si="11"/>
        <v>20</v>
      </c>
      <c r="N33" s="35"/>
      <c r="O33" s="43" t="s">
        <v>244</v>
      </c>
      <c r="P33" s="16"/>
    </row>
    <row r="34" spans="1:16" ht="18.75" customHeight="1" x14ac:dyDescent="0.3">
      <c r="A34" s="13"/>
      <c r="B34" s="14" t="s">
        <v>60</v>
      </c>
      <c r="C34" s="15" t="s">
        <v>55</v>
      </c>
      <c r="D34" s="26">
        <f>291.6+46.93</f>
        <v>338.53000000000003</v>
      </c>
      <c r="E34" s="50" t="s">
        <v>52</v>
      </c>
      <c r="F34" s="19">
        <v>0</v>
      </c>
      <c r="G34" s="26">
        <f>35%*D34</f>
        <v>118.4855</v>
      </c>
      <c r="H34" s="26">
        <f t="shared" si="10"/>
        <v>118.4855</v>
      </c>
      <c r="I34" s="19">
        <v>0</v>
      </c>
      <c r="J34" s="19">
        <v>0</v>
      </c>
      <c r="K34" s="19">
        <v>0</v>
      </c>
      <c r="L34" s="19">
        <v>0</v>
      </c>
      <c r="M34" s="19">
        <f t="shared" si="11"/>
        <v>0</v>
      </c>
      <c r="N34" s="35"/>
      <c r="O34" s="43" t="s">
        <v>224</v>
      </c>
      <c r="P34" s="16"/>
    </row>
    <row r="35" spans="1:16" ht="18.75" customHeight="1" x14ac:dyDescent="0.3">
      <c r="A35" s="13"/>
      <c r="B35" s="14"/>
      <c r="C35" s="15"/>
      <c r="D35" s="26"/>
      <c r="E35" s="47" t="s">
        <v>235</v>
      </c>
      <c r="F35" s="26">
        <f>5%*D34</f>
        <v>16.926500000000001</v>
      </c>
      <c r="G35" s="26">
        <f>20%*D34</f>
        <v>67.706000000000003</v>
      </c>
      <c r="H35" s="26">
        <f>SUM(F35:G35)</f>
        <v>84.632500000000007</v>
      </c>
      <c r="I35" s="19"/>
      <c r="J35" s="19"/>
      <c r="K35" s="19">
        <v>5</v>
      </c>
      <c r="L35" s="19"/>
      <c r="M35" s="19">
        <f>SUM(I35:L35)</f>
        <v>5</v>
      </c>
      <c r="N35" s="35"/>
      <c r="O35" s="43" t="s">
        <v>227</v>
      </c>
      <c r="P35" s="16"/>
    </row>
    <row r="36" spans="1:16" ht="18.75" customHeight="1" x14ac:dyDescent="0.3">
      <c r="A36" s="13"/>
      <c r="B36" s="14"/>
      <c r="C36" s="15"/>
      <c r="D36" s="26"/>
      <c r="E36" s="47" t="s">
        <v>234</v>
      </c>
      <c r="F36" s="26"/>
      <c r="G36" s="26">
        <f>25%*D34</f>
        <v>84.632500000000007</v>
      </c>
      <c r="H36" s="26">
        <f>F36+G36</f>
        <v>84.632500000000007</v>
      </c>
      <c r="I36" s="19"/>
      <c r="J36" s="19"/>
      <c r="K36" s="19"/>
      <c r="L36" s="19"/>
      <c r="M36" s="19"/>
      <c r="N36" s="35"/>
      <c r="O36" s="43" t="s">
        <v>153</v>
      </c>
      <c r="P36" s="16"/>
    </row>
    <row r="37" spans="1:16" ht="18.75" customHeight="1" x14ac:dyDescent="0.3">
      <c r="A37" s="13"/>
      <c r="B37" s="14" t="s">
        <v>61</v>
      </c>
      <c r="C37" s="15" t="s">
        <v>27</v>
      </c>
      <c r="D37" s="26">
        <f>831.5+161.25</f>
        <v>992.75</v>
      </c>
      <c r="E37" s="50" t="s">
        <v>52</v>
      </c>
      <c r="F37" s="19">
        <v>0</v>
      </c>
      <c r="G37" s="26">
        <f>25%*D37</f>
        <v>248.1875</v>
      </c>
      <c r="H37" s="26">
        <f t="shared" si="10"/>
        <v>248.1875</v>
      </c>
      <c r="I37" s="19">
        <v>0</v>
      </c>
      <c r="J37" s="19">
        <v>0</v>
      </c>
      <c r="K37" s="19">
        <v>0</v>
      </c>
      <c r="L37" s="19">
        <v>0</v>
      </c>
      <c r="M37" s="19">
        <f t="shared" si="11"/>
        <v>0</v>
      </c>
      <c r="N37" s="35"/>
      <c r="O37" s="43" t="s">
        <v>154</v>
      </c>
      <c r="P37" s="16"/>
    </row>
    <row r="38" spans="1:16" ht="18.75" customHeight="1" x14ac:dyDescent="0.3">
      <c r="A38" s="13"/>
      <c r="B38" s="14" t="s">
        <v>62</v>
      </c>
      <c r="C38" s="15" t="s">
        <v>28</v>
      </c>
      <c r="D38" s="26">
        <f>868+618.6</f>
        <v>1486.6</v>
      </c>
      <c r="E38" s="50" t="s">
        <v>52</v>
      </c>
      <c r="F38" s="19">
        <v>0</v>
      </c>
      <c r="G38" s="26">
        <f>25%*D38</f>
        <v>371.65</v>
      </c>
      <c r="H38" s="26">
        <f t="shared" si="10"/>
        <v>371.65</v>
      </c>
      <c r="I38" s="19">
        <v>0</v>
      </c>
      <c r="J38" s="19">
        <v>0</v>
      </c>
      <c r="K38" s="19">
        <v>0</v>
      </c>
      <c r="L38" s="19">
        <v>0</v>
      </c>
      <c r="M38" s="19">
        <f t="shared" si="11"/>
        <v>0</v>
      </c>
      <c r="N38" s="35"/>
      <c r="O38" s="43"/>
      <c r="P38" s="16"/>
    </row>
    <row r="39" spans="1:16" ht="18.75" customHeight="1" x14ac:dyDescent="0.3">
      <c r="A39" s="13"/>
      <c r="B39" s="14" t="s">
        <v>63</v>
      </c>
      <c r="C39" s="15" t="s">
        <v>29</v>
      </c>
      <c r="D39" s="26">
        <f>1546+278.5</f>
        <v>1824.5</v>
      </c>
      <c r="E39" s="50" t="s">
        <v>52</v>
      </c>
      <c r="F39" s="19">
        <v>0</v>
      </c>
      <c r="G39" s="26">
        <f>26%*D39</f>
        <v>474.37</v>
      </c>
      <c r="H39" s="26">
        <f t="shared" si="10"/>
        <v>474.37</v>
      </c>
      <c r="I39" s="19">
        <v>0</v>
      </c>
      <c r="J39" s="19">
        <v>0</v>
      </c>
      <c r="K39" s="19">
        <v>0</v>
      </c>
      <c r="L39" s="19">
        <v>0</v>
      </c>
      <c r="M39" s="19">
        <f t="shared" si="11"/>
        <v>0</v>
      </c>
      <c r="N39" s="35"/>
      <c r="O39" s="43"/>
      <c r="P39" s="16"/>
    </row>
    <row r="40" spans="1:16" ht="18.75" customHeight="1" x14ac:dyDescent="0.3">
      <c r="A40" s="13"/>
      <c r="B40" s="14" t="s">
        <v>64</v>
      </c>
      <c r="C40" s="15" t="s">
        <v>56</v>
      </c>
      <c r="D40" s="26">
        <f>156.4+34.9</f>
        <v>191.3</v>
      </c>
      <c r="E40" s="50" t="s">
        <v>52</v>
      </c>
      <c r="F40" s="19">
        <v>0</v>
      </c>
      <c r="G40" s="26">
        <f>20%*D40</f>
        <v>38.260000000000005</v>
      </c>
      <c r="H40" s="26">
        <f t="shared" si="10"/>
        <v>38.260000000000005</v>
      </c>
      <c r="I40" s="19">
        <v>0</v>
      </c>
      <c r="J40" s="19"/>
      <c r="K40" s="19">
        <v>5</v>
      </c>
      <c r="L40" s="19">
        <v>0</v>
      </c>
      <c r="M40" s="19">
        <f t="shared" si="11"/>
        <v>5</v>
      </c>
      <c r="N40" s="35"/>
      <c r="O40" s="43"/>
      <c r="P40" s="16"/>
    </row>
    <row r="41" spans="1:16" ht="18.75" customHeight="1" x14ac:dyDescent="0.3">
      <c r="A41" s="13"/>
      <c r="B41" s="14" t="s">
        <v>65</v>
      </c>
      <c r="C41" s="15" t="s">
        <v>30</v>
      </c>
      <c r="D41" s="26">
        <f>1499.7+565.1</f>
        <v>2064.8000000000002</v>
      </c>
      <c r="E41" s="50" t="s">
        <v>52</v>
      </c>
      <c r="F41" s="19">
        <v>0</v>
      </c>
      <c r="G41" s="26">
        <f>18%*D41</f>
        <v>371.66400000000004</v>
      </c>
      <c r="H41" s="26">
        <f t="shared" si="10"/>
        <v>371.66400000000004</v>
      </c>
      <c r="I41" s="19">
        <v>0</v>
      </c>
      <c r="J41" s="19">
        <v>0</v>
      </c>
      <c r="K41" s="19">
        <v>0</v>
      </c>
      <c r="L41" s="19">
        <v>0</v>
      </c>
      <c r="M41" s="19">
        <f t="shared" si="11"/>
        <v>0</v>
      </c>
      <c r="N41" s="35"/>
      <c r="O41" s="43"/>
      <c r="P41" s="16"/>
    </row>
    <row r="42" spans="1:16" ht="18.75" customHeight="1" x14ac:dyDescent="0.3">
      <c r="A42" s="13"/>
      <c r="B42" s="14" t="s">
        <v>66</v>
      </c>
      <c r="C42" s="15" t="s">
        <v>31</v>
      </c>
      <c r="D42" s="26">
        <f>1207+389</f>
        <v>1596</v>
      </c>
      <c r="E42" s="50" t="s">
        <v>52</v>
      </c>
      <c r="F42" s="19">
        <v>0</v>
      </c>
      <c r="G42" s="26">
        <f>18%*D42</f>
        <v>287.27999999999997</v>
      </c>
      <c r="H42" s="26">
        <f t="shared" si="10"/>
        <v>287.27999999999997</v>
      </c>
      <c r="I42" s="19">
        <v>0</v>
      </c>
      <c r="J42" s="19">
        <v>0</v>
      </c>
      <c r="K42" s="19">
        <v>0</v>
      </c>
      <c r="L42" s="19">
        <v>0</v>
      </c>
      <c r="M42" s="19">
        <f t="shared" si="11"/>
        <v>0</v>
      </c>
      <c r="N42" s="35"/>
      <c r="O42" s="43"/>
      <c r="P42" s="16"/>
    </row>
    <row r="43" spans="1:16" ht="18.75" customHeight="1" x14ac:dyDescent="0.3">
      <c r="A43" s="13"/>
      <c r="B43" s="14" t="s">
        <v>67</v>
      </c>
      <c r="C43" s="15" t="s">
        <v>32</v>
      </c>
      <c r="D43" s="26">
        <f>998.9+79.5</f>
        <v>1078.4000000000001</v>
      </c>
      <c r="E43" s="50" t="s">
        <v>52</v>
      </c>
      <c r="F43" s="19">
        <v>0</v>
      </c>
      <c r="G43" s="26">
        <f>25%*D43</f>
        <v>269.60000000000002</v>
      </c>
      <c r="H43" s="26">
        <f t="shared" si="10"/>
        <v>269.60000000000002</v>
      </c>
      <c r="I43" s="19">
        <v>0</v>
      </c>
      <c r="J43" s="19">
        <v>0</v>
      </c>
      <c r="K43" s="19">
        <v>0</v>
      </c>
      <c r="L43" s="19">
        <v>0</v>
      </c>
      <c r="M43" s="19">
        <f t="shared" si="11"/>
        <v>0</v>
      </c>
      <c r="N43" s="35"/>
      <c r="O43" s="43"/>
      <c r="P43" s="16"/>
    </row>
    <row r="44" spans="1:16" ht="18.75" customHeight="1" x14ac:dyDescent="0.3">
      <c r="A44" s="13"/>
      <c r="B44" s="14" t="s">
        <v>68</v>
      </c>
      <c r="C44" s="15" t="s">
        <v>33</v>
      </c>
      <c r="D44" s="26">
        <f>1304+57.5</f>
        <v>1361.5</v>
      </c>
      <c r="E44" s="50" t="s">
        <v>52</v>
      </c>
      <c r="F44" s="19">
        <v>0</v>
      </c>
      <c r="G44" s="26">
        <f>20%*D44</f>
        <v>272.3</v>
      </c>
      <c r="H44" s="26">
        <f t="shared" si="10"/>
        <v>272.3</v>
      </c>
      <c r="I44" s="19">
        <v>0</v>
      </c>
      <c r="J44" s="19"/>
      <c r="K44" s="19">
        <v>0</v>
      </c>
      <c r="L44" s="19">
        <v>0</v>
      </c>
      <c r="M44" s="19">
        <f t="shared" si="11"/>
        <v>0</v>
      </c>
      <c r="N44" s="35"/>
      <c r="O44" s="43"/>
      <c r="P44" s="16"/>
    </row>
    <row r="45" spans="1:16" ht="18.75" customHeight="1" x14ac:dyDescent="0.3">
      <c r="A45" s="13"/>
      <c r="B45" s="14" t="s">
        <v>69</v>
      </c>
      <c r="C45" s="15" t="s">
        <v>34</v>
      </c>
      <c r="D45" s="26">
        <f>1784.1+362</f>
        <v>2146.1</v>
      </c>
      <c r="E45" s="50" t="s">
        <v>52</v>
      </c>
      <c r="F45" s="19">
        <v>0</v>
      </c>
      <c r="G45" s="26">
        <f>32%*D45</f>
        <v>686.75199999999995</v>
      </c>
      <c r="H45" s="26">
        <f t="shared" si="10"/>
        <v>686.75199999999995</v>
      </c>
      <c r="I45" s="19">
        <v>0</v>
      </c>
      <c r="J45" s="19"/>
      <c r="K45" s="19">
        <v>1</v>
      </c>
      <c r="L45" s="19">
        <v>0</v>
      </c>
      <c r="M45" s="19">
        <f t="shared" si="11"/>
        <v>1</v>
      </c>
      <c r="N45" s="35"/>
      <c r="O45" s="43"/>
      <c r="P45" s="16"/>
    </row>
    <row r="46" spans="1:16" ht="18.75" customHeight="1" x14ac:dyDescent="0.3">
      <c r="A46" s="13"/>
      <c r="B46" s="14" t="s">
        <v>70</v>
      </c>
      <c r="C46" s="15" t="s">
        <v>35</v>
      </c>
      <c r="D46" s="26">
        <f>1557+181.5</f>
        <v>1738.5</v>
      </c>
      <c r="E46" s="50" t="s">
        <v>52</v>
      </c>
      <c r="F46" s="19">
        <v>0</v>
      </c>
      <c r="G46" s="26">
        <f>20%*D46</f>
        <v>347.70000000000005</v>
      </c>
      <c r="H46" s="26">
        <f t="shared" si="10"/>
        <v>347.70000000000005</v>
      </c>
      <c r="I46" s="19">
        <v>0</v>
      </c>
      <c r="J46" s="19">
        <v>0</v>
      </c>
      <c r="K46" s="19">
        <v>0</v>
      </c>
      <c r="L46" s="19">
        <v>0</v>
      </c>
      <c r="M46" s="19">
        <f t="shared" si="11"/>
        <v>0</v>
      </c>
      <c r="N46" s="35"/>
      <c r="O46" s="43"/>
      <c r="P46" s="16"/>
    </row>
    <row r="47" spans="1:16" ht="18.75" customHeight="1" x14ac:dyDescent="0.3">
      <c r="A47" s="13"/>
      <c r="B47" s="14" t="s">
        <v>71</v>
      </c>
      <c r="C47" s="15" t="s">
        <v>21</v>
      </c>
      <c r="D47" s="26">
        <f>1940+114</f>
        <v>2054</v>
      </c>
      <c r="E47" s="50" t="s">
        <v>52</v>
      </c>
      <c r="F47" s="19">
        <v>0</v>
      </c>
      <c r="G47" s="26">
        <f>35%*D47</f>
        <v>718.9</v>
      </c>
      <c r="H47" s="26">
        <f t="shared" si="10"/>
        <v>718.9</v>
      </c>
      <c r="I47" s="19">
        <v>0</v>
      </c>
      <c r="J47" s="19">
        <v>0</v>
      </c>
      <c r="K47" s="19">
        <v>0</v>
      </c>
      <c r="L47" s="19">
        <v>0</v>
      </c>
      <c r="M47" s="19">
        <f t="shared" si="11"/>
        <v>0</v>
      </c>
      <c r="N47" s="35"/>
      <c r="O47" s="43"/>
      <c r="P47" s="16"/>
    </row>
    <row r="48" spans="1:16" ht="18.75" customHeight="1" x14ac:dyDescent="0.3">
      <c r="A48" s="13"/>
      <c r="B48" s="14" t="s">
        <v>72</v>
      </c>
      <c r="C48" s="15" t="s">
        <v>42</v>
      </c>
      <c r="D48" s="26">
        <f>773.1+303.8</f>
        <v>1076.9000000000001</v>
      </c>
      <c r="E48" s="50" t="s">
        <v>52</v>
      </c>
      <c r="F48" s="19">
        <v>0</v>
      </c>
      <c r="G48" s="26">
        <f>31%*D48</f>
        <v>333.839</v>
      </c>
      <c r="H48" s="26">
        <f t="shared" si="10"/>
        <v>333.839</v>
      </c>
      <c r="I48" s="19">
        <v>0</v>
      </c>
      <c r="J48" s="19">
        <v>0</v>
      </c>
      <c r="K48" s="19">
        <v>0</v>
      </c>
      <c r="L48" s="19">
        <v>0</v>
      </c>
      <c r="M48" s="19">
        <f t="shared" si="11"/>
        <v>0</v>
      </c>
      <c r="N48" s="35"/>
      <c r="O48" s="36"/>
      <c r="P48" s="16"/>
    </row>
    <row r="49" spans="1:16" ht="18.75" customHeight="1" x14ac:dyDescent="0.3">
      <c r="A49" s="13"/>
      <c r="B49" s="14" t="s">
        <v>73</v>
      </c>
      <c r="C49" s="15" t="s">
        <v>105</v>
      </c>
      <c r="D49" s="26">
        <f>153.8+8.7</f>
        <v>162.5</v>
      </c>
      <c r="E49" s="50" t="s">
        <v>52</v>
      </c>
      <c r="F49" s="19">
        <v>0</v>
      </c>
      <c r="G49" s="26">
        <f>30%*D49</f>
        <v>48.75</v>
      </c>
      <c r="H49" s="26">
        <f t="shared" si="10"/>
        <v>48.75</v>
      </c>
      <c r="I49" s="19">
        <v>0</v>
      </c>
      <c r="J49" s="19">
        <v>0</v>
      </c>
      <c r="K49" s="19">
        <v>0</v>
      </c>
      <c r="L49" s="19">
        <v>0</v>
      </c>
      <c r="M49" s="19">
        <f t="shared" si="11"/>
        <v>0</v>
      </c>
      <c r="N49" s="35"/>
      <c r="O49" s="36"/>
      <c r="P49" s="16"/>
    </row>
    <row r="50" spans="1:16" ht="18.75" customHeight="1" x14ac:dyDescent="0.3">
      <c r="A50" s="13"/>
      <c r="B50" s="14" t="s">
        <v>74</v>
      </c>
      <c r="C50" s="15" t="s">
        <v>110</v>
      </c>
      <c r="D50" s="26">
        <f>695+48.2</f>
        <v>743.2</v>
      </c>
      <c r="E50" s="50" t="s">
        <v>52</v>
      </c>
      <c r="F50" s="19">
        <v>0</v>
      </c>
      <c r="G50" s="26">
        <f t="shared" ref="G50:G55" si="12">20%*D50</f>
        <v>148.64000000000001</v>
      </c>
      <c r="H50" s="26">
        <f t="shared" si="10"/>
        <v>148.64000000000001</v>
      </c>
      <c r="I50" s="19">
        <v>0</v>
      </c>
      <c r="J50" s="19">
        <v>0</v>
      </c>
      <c r="K50" s="19">
        <v>0</v>
      </c>
      <c r="L50" s="19">
        <v>0</v>
      </c>
      <c r="M50" s="19">
        <f t="shared" si="11"/>
        <v>0</v>
      </c>
      <c r="N50" s="35"/>
      <c r="O50" s="36"/>
      <c r="P50" s="16"/>
    </row>
    <row r="51" spans="1:16" ht="18.75" customHeight="1" x14ac:dyDescent="0.3">
      <c r="A51" s="13"/>
      <c r="B51" s="14" t="s">
        <v>75</v>
      </c>
      <c r="C51" s="15" t="s">
        <v>112</v>
      </c>
      <c r="D51" s="26">
        <f>375+14</f>
        <v>389</v>
      </c>
      <c r="E51" s="50" t="s">
        <v>52</v>
      </c>
      <c r="F51" s="19">
        <v>0</v>
      </c>
      <c r="G51" s="26">
        <f t="shared" si="12"/>
        <v>77.800000000000011</v>
      </c>
      <c r="H51" s="26">
        <f t="shared" si="10"/>
        <v>77.800000000000011</v>
      </c>
      <c r="I51" s="19">
        <v>0</v>
      </c>
      <c r="J51" s="19">
        <v>0</v>
      </c>
      <c r="K51" s="19">
        <v>0</v>
      </c>
      <c r="L51" s="19">
        <v>0</v>
      </c>
      <c r="M51" s="19">
        <f t="shared" si="11"/>
        <v>0</v>
      </c>
      <c r="N51" s="35"/>
      <c r="O51" s="36"/>
      <c r="P51" s="16"/>
    </row>
    <row r="52" spans="1:16" ht="18.75" customHeight="1" x14ac:dyDescent="0.3">
      <c r="A52" s="13"/>
      <c r="B52" s="14" t="s">
        <v>104</v>
      </c>
      <c r="C52" s="15" t="s">
        <v>114</v>
      </c>
      <c r="D52" s="26">
        <f>73.5</f>
        <v>73.5</v>
      </c>
      <c r="E52" s="50" t="s">
        <v>52</v>
      </c>
      <c r="F52" s="19">
        <v>0</v>
      </c>
      <c r="G52" s="26">
        <f t="shared" si="12"/>
        <v>14.700000000000001</v>
      </c>
      <c r="H52" s="26">
        <f t="shared" si="10"/>
        <v>14.700000000000001</v>
      </c>
      <c r="I52" s="19">
        <v>0</v>
      </c>
      <c r="J52" s="19">
        <v>0</v>
      </c>
      <c r="K52" s="19">
        <v>0</v>
      </c>
      <c r="L52" s="19">
        <v>0</v>
      </c>
      <c r="M52" s="19">
        <f t="shared" si="11"/>
        <v>0</v>
      </c>
      <c r="N52" s="35"/>
      <c r="O52" s="36"/>
      <c r="P52" s="16"/>
    </row>
    <row r="53" spans="1:16" ht="18.75" customHeight="1" x14ac:dyDescent="0.3">
      <c r="A53" s="13"/>
      <c r="B53" s="14" t="s">
        <v>106</v>
      </c>
      <c r="C53" s="15" t="s">
        <v>22</v>
      </c>
      <c r="D53" s="26">
        <f>1130+101</f>
        <v>1231</v>
      </c>
      <c r="E53" s="50" t="s">
        <v>52</v>
      </c>
      <c r="F53" s="19">
        <v>0</v>
      </c>
      <c r="G53" s="26">
        <f t="shared" si="12"/>
        <v>246.20000000000002</v>
      </c>
      <c r="H53" s="26">
        <f t="shared" si="10"/>
        <v>246.20000000000002</v>
      </c>
      <c r="I53" s="19">
        <v>0</v>
      </c>
      <c r="J53" s="19">
        <v>0</v>
      </c>
      <c r="K53" s="19">
        <v>0</v>
      </c>
      <c r="L53" s="19">
        <v>0</v>
      </c>
      <c r="M53" s="19">
        <f t="shared" si="11"/>
        <v>0</v>
      </c>
      <c r="N53" s="35"/>
      <c r="O53" s="36"/>
      <c r="P53" s="16"/>
    </row>
    <row r="54" spans="1:16" ht="18.75" customHeight="1" x14ac:dyDescent="0.3">
      <c r="A54" s="13"/>
      <c r="B54" s="14" t="s">
        <v>108</v>
      </c>
      <c r="C54" s="15" t="s">
        <v>180</v>
      </c>
      <c r="D54" s="26">
        <f>134.8+5</f>
        <v>139.80000000000001</v>
      </c>
      <c r="E54" s="47" t="s">
        <v>52</v>
      </c>
      <c r="F54" s="19">
        <v>0</v>
      </c>
      <c r="G54" s="26">
        <f t="shared" si="12"/>
        <v>27.960000000000004</v>
      </c>
      <c r="H54" s="26">
        <f t="shared" si="10"/>
        <v>27.960000000000004</v>
      </c>
      <c r="I54" s="19">
        <v>0</v>
      </c>
      <c r="J54" s="19">
        <v>0</v>
      </c>
      <c r="K54" s="19">
        <v>0</v>
      </c>
      <c r="L54" s="19">
        <v>0</v>
      </c>
      <c r="M54" s="19">
        <f t="shared" si="11"/>
        <v>0</v>
      </c>
      <c r="N54" s="35"/>
      <c r="O54" s="36"/>
      <c r="P54" s="16"/>
    </row>
    <row r="55" spans="1:16" ht="18.75" customHeight="1" x14ac:dyDescent="0.3">
      <c r="A55" s="13"/>
      <c r="B55" s="14" t="s">
        <v>109</v>
      </c>
      <c r="C55" s="15" t="s">
        <v>43</v>
      </c>
      <c r="D55" s="26">
        <f>1189+216.6</f>
        <v>1405.6</v>
      </c>
      <c r="E55" s="50" t="s">
        <v>52</v>
      </c>
      <c r="F55" s="19">
        <v>0</v>
      </c>
      <c r="G55" s="26">
        <f t="shared" si="12"/>
        <v>281.12</v>
      </c>
      <c r="H55" s="26">
        <f t="shared" si="10"/>
        <v>281.12</v>
      </c>
      <c r="I55" s="19">
        <v>0</v>
      </c>
      <c r="J55" s="19">
        <v>0</v>
      </c>
      <c r="K55" s="19">
        <v>0</v>
      </c>
      <c r="L55" s="19">
        <v>0</v>
      </c>
      <c r="M55" s="19">
        <f t="shared" si="11"/>
        <v>0</v>
      </c>
      <c r="N55" s="35"/>
      <c r="O55" s="36"/>
      <c r="P55" s="16"/>
    </row>
    <row r="56" spans="1:16" ht="14.25" customHeight="1" x14ac:dyDescent="0.3">
      <c r="A56" s="13"/>
      <c r="B56" s="55" t="s">
        <v>111</v>
      </c>
      <c r="C56" s="56" t="s">
        <v>44</v>
      </c>
      <c r="D56" s="57">
        <f>1396.6+127</f>
        <v>1523.6</v>
      </c>
      <c r="E56" s="78" t="s">
        <v>52</v>
      </c>
      <c r="F56" s="19">
        <v>0</v>
      </c>
      <c r="G56" s="26">
        <f>25%*D56</f>
        <v>380.9</v>
      </c>
      <c r="H56" s="26">
        <f t="shared" si="10"/>
        <v>380.9</v>
      </c>
      <c r="I56" s="19">
        <v>0</v>
      </c>
      <c r="J56" s="19">
        <v>0</v>
      </c>
      <c r="K56" s="19">
        <v>0</v>
      </c>
      <c r="L56" s="19">
        <v>0</v>
      </c>
      <c r="M56" s="19">
        <f t="shared" si="11"/>
        <v>0</v>
      </c>
      <c r="N56" s="35"/>
      <c r="O56" s="36"/>
      <c r="P56" s="16"/>
    </row>
    <row r="57" spans="1:16" ht="18.75" customHeight="1" x14ac:dyDescent="0.3">
      <c r="A57" s="13"/>
      <c r="B57" s="14" t="s">
        <v>74</v>
      </c>
      <c r="C57" s="15" t="s">
        <v>43</v>
      </c>
      <c r="D57" s="26">
        <v>1189</v>
      </c>
      <c r="E57" s="50" t="s">
        <v>52</v>
      </c>
      <c r="F57" s="19">
        <v>0</v>
      </c>
      <c r="G57" s="26">
        <f>20%*D57</f>
        <v>237.8</v>
      </c>
      <c r="H57" s="26">
        <f t="shared" si="10"/>
        <v>237.8</v>
      </c>
      <c r="I57" s="19">
        <v>0</v>
      </c>
      <c r="J57" s="19"/>
      <c r="K57" s="19">
        <v>6</v>
      </c>
      <c r="L57" s="19">
        <v>0</v>
      </c>
      <c r="M57" s="19">
        <f t="shared" si="11"/>
        <v>6</v>
      </c>
      <c r="N57" s="35"/>
      <c r="O57" s="36"/>
      <c r="P57" s="16"/>
    </row>
    <row r="58" spans="1:16" ht="18.75" customHeight="1" x14ac:dyDescent="0.3">
      <c r="A58" s="54"/>
      <c r="B58" s="55" t="s">
        <v>75</v>
      </c>
      <c r="C58" s="56" t="s">
        <v>44</v>
      </c>
      <c r="D58" s="57">
        <v>1391</v>
      </c>
      <c r="E58" s="78" t="s">
        <v>52</v>
      </c>
      <c r="F58" s="19">
        <v>0</v>
      </c>
      <c r="G58" s="26">
        <f>20%*D58</f>
        <v>278.2</v>
      </c>
      <c r="H58" s="26">
        <f t="shared" si="10"/>
        <v>278.2</v>
      </c>
      <c r="I58" s="19">
        <v>0</v>
      </c>
      <c r="J58" s="19"/>
      <c r="K58" s="19">
        <v>2</v>
      </c>
      <c r="L58" s="19">
        <v>0</v>
      </c>
      <c r="M58" s="19">
        <f t="shared" si="11"/>
        <v>2</v>
      </c>
      <c r="N58" s="80"/>
      <c r="O58" s="81"/>
      <c r="P58" s="87"/>
    </row>
    <row r="59" spans="1:16" ht="18.75" customHeight="1" x14ac:dyDescent="0.3">
      <c r="A59" s="141"/>
      <c r="B59" s="117"/>
      <c r="C59" s="116"/>
      <c r="D59" s="109"/>
      <c r="E59" s="110" t="s">
        <v>223</v>
      </c>
      <c r="F59" s="90">
        <f>10%*D58</f>
        <v>139.1</v>
      </c>
      <c r="G59" s="90"/>
      <c r="H59" s="90">
        <f>SUM(F59:G59)</f>
        <v>139.1</v>
      </c>
      <c r="I59" s="19">
        <v>0</v>
      </c>
      <c r="J59" s="19">
        <v>0</v>
      </c>
      <c r="K59" s="19">
        <v>0</v>
      </c>
      <c r="L59" s="19">
        <v>0</v>
      </c>
      <c r="M59" s="19">
        <f t="shared" si="11"/>
        <v>0</v>
      </c>
      <c r="N59" s="93"/>
      <c r="O59" s="113"/>
      <c r="P59" s="5"/>
    </row>
    <row r="60" spans="1:16" ht="18.75" customHeight="1" x14ac:dyDescent="0.3">
      <c r="A60" s="89"/>
      <c r="B60" s="71"/>
      <c r="C60" s="72"/>
      <c r="D60" s="84">
        <f>SUM(D30:D58)</f>
        <v>30736.879999999997</v>
      </c>
      <c r="E60" s="74"/>
      <c r="F60" s="83">
        <f>SUM(F37:F59)</f>
        <v>139.1</v>
      </c>
      <c r="G60" s="83">
        <f>SUM(G30:G59)</f>
        <v>8032.526499999999</v>
      </c>
      <c r="H60" s="83">
        <f>SUM(H30:H59)</f>
        <v>8188.552999999999</v>
      </c>
      <c r="I60" s="83">
        <f>SUM(I30:I59)</f>
        <v>20</v>
      </c>
      <c r="J60" s="83">
        <f>SUM(J30:J58)</f>
        <v>6</v>
      </c>
      <c r="K60" s="83">
        <f>SUM(K30:K58)</f>
        <v>27</v>
      </c>
      <c r="L60" s="83">
        <f>SUM(L30:L58)</f>
        <v>0</v>
      </c>
      <c r="M60" s="83">
        <f>SUM(M30:M58)</f>
        <v>53</v>
      </c>
      <c r="N60" s="76"/>
      <c r="O60" s="77"/>
      <c r="P60" s="75"/>
    </row>
    <row r="61" spans="1:16" ht="18.75" customHeight="1" x14ac:dyDescent="0.3">
      <c r="A61" s="63">
        <v>4</v>
      </c>
      <c r="B61" s="64" t="s">
        <v>46</v>
      </c>
      <c r="C61" s="65"/>
      <c r="D61" s="66"/>
      <c r="E61" s="67"/>
      <c r="F61" s="82"/>
      <c r="G61" s="82"/>
      <c r="H61" s="82"/>
      <c r="I61" s="82"/>
      <c r="J61" s="82"/>
      <c r="K61" s="82"/>
      <c r="L61" s="82"/>
      <c r="M61" s="82"/>
      <c r="N61" s="69"/>
      <c r="O61" s="70"/>
      <c r="P61" s="68"/>
    </row>
    <row r="62" spans="1:16" ht="18.75" customHeight="1" x14ac:dyDescent="0.3">
      <c r="A62" s="102"/>
      <c r="B62" s="98" t="s">
        <v>57</v>
      </c>
      <c r="C62" s="99" t="s">
        <v>29</v>
      </c>
      <c r="D62" s="96">
        <v>175</v>
      </c>
      <c r="E62" s="101" t="s">
        <v>233</v>
      </c>
      <c r="F62" s="96"/>
      <c r="G62" s="96">
        <f>40%*D62</f>
        <v>70</v>
      </c>
      <c r="H62" s="96">
        <f>SUM(F62:G62)</f>
        <v>70</v>
      </c>
      <c r="I62" s="97">
        <v>0</v>
      </c>
      <c r="J62" s="97"/>
      <c r="K62" s="97">
        <v>0</v>
      </c>
      <c r="L62" s="97">
        <v>0</v>
      </c>
      <c r="M62" s="97">
        <f t="shared" ref="M62:M69" si="13">SUM(I62:L62)</f>
        <v>0</v>
      </c>
      <c r="N62" s="35"/>
      <c r="O62" s="36" t="s">
        <v>229</v>
      </c>
      <c r="P62" s="16"/>
    </row>
    <row r="63" spans="1:16" ht="18.75" customHeight="1" x14ac:dyDescent="0.3">
      <c r="A63" s="13"/>
      <c r="B63" s="14" t="s">
        <v>58</v>
      </c>
      <c r="C63" s="15" t="s">
        <v>33</v>
      </c>
      <c r="D63" s="26">
        <v>270</v>
      </c>
      <c r="E63" s="101" t="s">
        <v>233</v>
      </c>
      <c r="F63" s="26">
        <f>3%*D63</f>
        <v>8.1</v>
      </c>
      <c r="G63" s="26">
        <f>30%*D63</f>
        <v>81</v>
      </c>
      <c r="H63" s="26">
        <f t="shared" ref="H63:H69" si="14">SUM(F63:G63)</f>
        <v>89.1</v>
      </c>
      <c r="I63" s="19">
        <v>0</v>
      </c>
      <c r="J63" s="19"/>
      <c r="K63" s="19">
        <v>0</v>
      </c>
      <c r="L63" s="19">
        <v>0</v>
      </c>
      <c r="M63" s="19">
        <f t="shared" si="13"/>
        <v>0</v>
      </c>
      <c r="N63" s="35"/>
      <c r="O63" s="36"/>
      <c r="P63" s="16"/>
    </row>
    <row r="64" spans="1:16" ht="18.75" customHeight="1" x14ac:dyDescent="0.3">
      <c r="A64" s="13"/>
      <c r="B64" s="98" t="s">
        <v>59</v>
      </c>
      <c r="C64" s="99" t="s">
        <v>42</v>
      </c>
      <c r="D64" s="96">
        <v>798.93</v>
      </c>
      <c r="E64" s="101" t="s">
        <v>233</v>
      </c>
      <c r="F64" s="96">
        <f>1%*D64</f>
        <v>7.9893000000000001</v>
      </c>
      <c r="G64" s="97">
        <f>20%*D64</f>
        <v>159.786</v>
      </c>
      <c r="H64" s="96">
        <f t="shared" si="14"/>
        <v>167.77530000000002</v>
      </c>
      <c r="I64" s="97">
        <v>0</v>
      </c>
      <c r="J64" s="97"/>
      <c r="K64" s="97">
        <v>0</v>
      </c>
      <c r="L64" s="97">
        <v>0</v>
      </c>
      <c r="M64" s="97">
        <f t="shared" si="13"/>
        <v>0</v>
      </c>
      <c r="N64" s="35"/>
      <c r="O64" s="36"/>
      <c r="P64" s="16"/>
    </row>
    <row r="65" spans="1:16" ht="24" customHeight="1" x14ac:dyDescent="0.3">
      <c r="A65" s="13"/>
      <c r="B65" s="98" t="s">
        <v>60</v>
      </c>
      <c r="C65" s="99" t="s">
        <v>21</v>
      </c>
      <c r="D65" s="96">
        <v>1086.55</v>
      </c>
      <c r="E65" s="101" t="s">
        <v>186</v>
      </c>
      <c r="F65" s="96">
        <f>5%*D65</f>
        <v>54.327500000000001</v>
      </c>
      <c r="G65" s="97">
        <f>10%*D65</f>
        <v>108.655</v>
      </c>
      <c r="H65" s="96">
        <f t="shared" si="14"/>
        <v>162.98250000000002</v>
      </c>
      <c r="I65" s="97">
        <v>0</v>
      </c>
      <c r="J65" s="97"/>
      <c r="K65" s="97">
        <v>2</v>
      </c>
      <c r="L65" s="97">
        <v>0</v>
      </c>
      <c r="M65" s="97">
        <f t="shared" si="13"/>
        <v>2</v>
      </c>
      <c r="N65" s="35"/>
      <c r="O65" s="36"/>
      <c r="P65" s="16"/>
    </row>
    <row r="66" spans="1:16" ht="17.25" customHeight="1" x14ac:dyDescent="0.3">
      <c r="A66" s="13"/>
      <c r="B66" s="98"/>
      <c r="C66" s="99"/>
      <c r="D66" s="96"/>
      <c r="E66" s="101" t="s">
        <v>233</v>
      </c>
      <c r="F66" s="96"/>
      <c r="G66" s="96">
        <f>10%*D65</f>
        <v>108.655</v>
      </c>
      <c r="H66" s="96">
        <f>SUM(F66:G66)</f>
        <v>108.655</v>
      </c>
      <c r="I66" s="19">
        <v>0</v>
      </c>
      <c r="J66" s="19">
        <v>0</v>
      </c>
      <c r="K66" s="19">
        <v>0</v>
      </c>
      <c r="L66" s="19">
        <v>0</v>
      </c>
      <c r="M66" s="19">
        <f t="shared" si="13"/>
        <v>0</v>
      </c>
      <c r="N66" s="35"/>
      <c r="O66" s="36"/>
      <c r="P66" s="16"/>
    </row>
    <row r="67" spans="1:16" ht="18.75" customHeight="1" x14ac:dyDescent="0.3">
      <c r="A67" s="16"/>
      <c r="B67" s="14" t="s">
        <v>61</v>
      </c>
      <c r="C67" s="15" t="s">
        <v>22</v>
      </c>
      <c r="D67" s="26">
        <v>1084.55</v>
      </c>
      <c r="E67" s="101" t="s">
        <v>233</v>
      </c>
      <c r="F67" s="26">
        <f>1%*D67</f>
        <v>10.845499999999999</v>
      </c>
      <c r="G67" s="19">
        <f>10%*D67</f>
        <v>108.455</v>
      </c>
      <c r="H67" s="26">
        <f t="shared" si="14"/>
        <v>119.3005</v>
      </c>
      <c r="I67" s="19">
        <v>0</v>
      </c>
      <c r="J67" s="19"/>
      <c r="K67" s="19">
        <v>2</v>
      </c>
      <c r="L67" s="19">
        <v>0</v>
      </c>
      <c r="M67" s="19">
        <f t="shared" si="13"/>
        <v>2</v>
      </c>
      <c r="N67" s="35"/>
      <c r="O67" s="36"/>
      <c r="P67" s="16"/>
    </row>
    <row r="68" spans="1:16" ht="18.75" customHeight="1" x14ac:dyDescent="0.3">
      <c r="A68" s="87"/>
      <c r="B68" s="55" t="s">
        <v>62</v>
      </c>
      <c r="C68" s="56" t="s">
        <v>43</v>
      </c>
      <c r="D68" s="57">
        <v>33</v>
      </c>
      <c r="E68" s="101" t="s">
        <v>233</v>
      </c>
      <c r="F68" s="26">
        <f>1%*D68</f>
        <v>0.33</v>
      </c>
      <c r="G68" s="19">
        <f>10%*D68</f>
        <v>3.3000000000000003</v>
      </c>
      <c r="H68" s="26">
        <f t="shared" si="14"/>
        <v>3.6300000000000003</v>
      </c>
      <c r="I68" s="19">
        <v>0</v>
      </c>
      <c r="J68" s="19"/>
      <c r="K68" s="19">
        <v>0</v>
      </c>
      <c r="L68" s="19">
        <v>0</v>
      </c>
      <c r="M68" s="19">
        <f t="shared" si="13"/>
        <v>0</v>
      </c>
      <c r="N68" s="80"/>
      <c r="O68" s="81"/>
      <c r="P68" s="87"/>
    </row>
    <row r="69" spans="1:16" ht="24.75" customHeight="1" x14ac:dyDescent="0.3">
      <c r="A69" s="16"/>
      <c r="B69" s="14" t="s">
        <v>63</v>
      </c>
      <c r="C69" s="15" t="s">
        <v>32</v>
      </c>
      <c r="D69" s="26">
        <v>178.5</v>
      </c>
      <c r="E69" s="101" t="s">
        <v>236</v>
      </c>
      <c r="F69" s="26">
        <f>1%*D69</f>
        <v>1.7850000000000001</v>
      </c>
      <c r="G69" s="19">
        <f>20%*D69</f>
        <v>35.700000000000003</v>
      </c>
      <c r="H69" s="26">
        <f t="shared" si="14"/>
        <v>37.484999999999999</v>
      </c>
      <c r="I69" s="135">
        <v>0</v>
      </c>
      <c r="J69" s="135"/>
      <c r="K69" s="135">
        <v>0</v>
      </c>
      <c r="L69" s="135">
        <v>0</v>
      </c>
      <c r="M69" s="135">
        <f t="shared" si="13"/>
        <v>0</v>
      </c>
      <c r="N69" s="35"/>
      <c r="O69" s="36"/>
      <c r="P69" s="16"/>
    </row>
    <row r="70" spans="1:16" ht="18.75" customHeight="1" x14ac:dyDescent="0.3">
      <c r="A70" s="75"/>
      <c r="B70" s="71"/>
      <c r="C70" s="72"/>
      <c r="D70" s="73">
        <f>SUM(D62:D69)</f>
        <v>3626.5299999999997</v>
      </c>
      <c r="E70" s="74"/>
      <c r="F70" s="73">
        <f t="shared" ref="F70:K70" si="15">SUM(F62:F69)</f>
        <v>83.377299999999991</v>
      </c>
      <c r="G70" s="83">
        <f t="shared" si="15"/>
        <v>675.55100000000004</v>
      </c>
      <c r="H70" s="73">
        <f t="shared" si="15"/>
        <v>758.92830000000004</v>
      </c>
      <c r="I70" s="83">
        <f t="shared" si="15"/>
        <v>0</v>
      </c>
      <c r="J70" s="83">
        <f t="shared" si="15"/>
        <v>0</v>
      </c>
      <c r="K70" s="83">
        <f t="shared" si="15"/>
        <v>4</v>
      </c>
      <c r="L70" s="83"/>
      <c r="M70" s="83">
        <f>SUM(M62:M69)</f>
        <v>4</v>
      </c>
      <c r="N70" s="76"/>
      <c r="O70" s="77"/>
      <c r="P70" s="75"/>
    </row>
    <row r="71" spans="1:16" ht="16.5" customHeight="1" x14ac:dyDescent="0.3">
      <c r="A71" s="63">
        <v>5</v>
      </c>
      <c r="B71" s="64" t="s">
        <v>96</v>
      </c>
      <c r="C71" s="65"/>
      <c r="D71" s="66"/>
      <c r="E71" s="67"/>
      <c r="F71" s="66"/>
      <c r="G71" s="66"/>
      <c r="H71" s="66"/>
      <c r="I71" s="82"/>
      <c r="J71" s="82"/>
      <c r="K71" s="82"/>
      <c r="L71" s="82"/>
      <c r="M71" s="82"/>
      <c r="N71" s="69"/>
      <c r="O71" s="70"/>
      <c r="P71" s="68"/>
    </row>
    <row r="72" spans="1:16" ht="16.5" customHeight="1" x14ac:dyDescent="0.3">
      <c r="A72" s="16"/>
      <c r="B72" s="14" t="s">
        <v>57</v>
      </c>
      <c r="C72" s="15" t="s">
        <v>22</v>
      </c>
      <c r="D72" s="26">
        <v>9.5</v>
      </c>
      <c r="E72" s="47" t="s">
        <v>163</v>
      </c>
      <c r="F72" s="26">
        <f>10%*D72</f>
        <v>0.95000000000000007</v>
      </c>
      <c r="G72" s="26">
        <v>0</v>
      </c>
      <c r="H72" s="26">
        <f t="shared" ref="H72:H80" si="16">SUM(F72:G72)</f>
        <v>0.95000000000000007</v>
      </c>
      <c r="I72" s="19">
        <v>0</v>
      </c>
      <c r="J72" s="19"/>
      <c r="K72" s="19">
        <v>0</v>
      </c>
      <c r="L72" s="19">
        <v>0</v>
      </c>
      <c r="M72" s="19">
        <f>SUM(I72:L72)</f>
        <v>0</v>
      </c>
      <c r="N72" s="35"/>
      <c r="O72" s="36" t="s">
        <v>136</v>
      </c>
      <c r="P72" s="16"/>
    </row>
    <row r="73" spans="1:16" ht="17.25" customHeight="1" x14ac:dyDescent="0.3">
      <c r="A73" s="16"/>
      <c r="B73" s="14" t="s">
        <v>58</v>
      </c>
      <c r="C73" s="15" t="s">
        <v>21</v>
      </c>
      <c r="D73" s="26">
        <v>18.11</v>
      </c>
      <c r="E73" s="47" t="s">
        <v>164</v>
      </c>
      <c r="F73" s="26">
        <f>10%*D73</f>
        <v>1.8109999999999999</v>
      </c>
      <c r="G73" s="26">
        <f>4%*D73</f>
        <v>0.72440000000000004</v>
      </c>
      <c r="H73" s="26">
        <f t="shared" si="16"/>
        <v>2.5354000000000001</v>
      </c>
      <c r="I73" s="19">
        <v>0</v>
      </c>
      <c r="J73" s="19"/>
      <c r="K73" s="19">
        <v>3</v>
      </c>
      <c r="L73" s="19">
        <v>0</v>
      </c>
      <c r="M73" s="19">
        <f t="shared" ref="M73:M80" si="17">SUM(I73:L73)</f>
        <v>3</v>
      </c>
      <c r="N73" s="35"/>
      <c r="O73" s="36" t="s">
        <v>50</v>
      </c>
      <c r="P73" s="16"/>
    </row>
    <row r="74" spans="1:16" ht="16.5" customHeight="1" x14ac:dyDescent="0.3">
      <c r="A74" s="16"/>
      <c r="B74" s="14"/>
      <c r="C74" s="15"/>
      <c r="D74" s="26"/>
      <c r="E74" s="49" t="s">
        <v>187</v>
      </c>
      <c r="F74" s="96">
        <f>13%*D73</f>
        <v>2.3542999999999998</v>
      </c>
      <c r="G74" s="96">
        <v>0</v>
      </c>
      <c r="H74" s="96">
        <f t="shared" si="16"/>
        <v>2.3542999999999998</v>
      </c>
      <c r="I74" s="97">
        <v>0</v>
      </c>
      <c r="J74" s="97">
        <v>0</v>
      </c>
      <c r="K74" s="97">
        <v>0</v>
      </c>
      <c r="L74" s="97">
        <v>0</v>
      </c>
      <c r="M74" s="97">
        <f t="shared" si="17"/>
        <v>0</v>
      </c>
      <c r="N74" s="35"/>
      <c r="O74" s="36"/>
      <c r="P74" s="16"/>
    </row>
    <row r="75" spans="1:16" ht="16.5" customHeight="1" x14ac:dyDescent="0.3">
      <c r="A75" s="16"/>
      <c r="B75" s="14" t="s">
        <v>59</v>
      </c>
      <c r="C75" s="15" t="s">
        <v>43</v>
      </c>
      <c r="D75" s="26">
        <v>18.79</v>
      </c>
      <c r="E75" s="47" t="s">
        <v>163</v>
      </c>
      <c r="F75" s="26">
        <f>10%*D75</f>
        <v>1.879</v>
      </c>
      <c r="G75" s="26">
        <v>0</v>
      </c>
      <c r="H75" s="26">
        <f t="shared" si="16"/>
        <v>1.879</v>
      </c>
      <c r="I75" s="19">
        <v>0</v>
      </c>
      <c r="J75" s="19"/>
      <c r="K75" s="19">
        <v>1</v>
      </c>
      <c r="L75" s="19">
        <v>0</v>
      </c>
      <c r="M75" s="19">
        <f t="shared" si="17"/>
        <v>1</v>
      </c>
      <c r="N75" s="35"/>
      <c r="O75" s="36" t="s">
        <v>137</v>
      </c>
      <c r="P75" s="16"/>
    </row>
    <row r="76" spans="1:16" ht="17.25" customHeight="1" x14ac:dyDescent="0.3">
      <c r="A76" s="16"/>
      <c r="B76" s="14" t="s">
        <v>60</v>
      </c>
      <c r="C76" s="15" t="s">
        <v>44</v>
      </c>
      <c r="D76" s="26">
        <v>30.5</v>
      </c>
      <c r="E76" s="47" t="s">
        <v>164</v>
      </c>
      <c r="F76" s="26">
        <f>10%*D76</f>
        <v>3.0500000000000003</v>
      </c>
      <c r="G76" s="26">
        <v>0</v>
      </c>
      <c r="H76" s="26">
        <f t="shared" si="16"/>
        <v>3.0500000000000003</v>
      </c>
      <c r="I76" s="19">
        <v>0</v>
      </c>
      <c r="J76" s="19">
        <v>0</v>
      </c>
      <c r="K76" s="19">
        <v>0</v>
      </c>
      <c r="L76" s="19">
        <v>0</v>
      </c>
      <c r="M76" s="19">
        <f t="shared" si="17"/>
        <v>0</v>
      </c>
      <c r="N76" s="35"/>
      <c r="O76" s="36" t="s">
        <v>145</v>
      </c>
      <c r="P76" s="16"/>
    </row>
    <row r="77" spans="1:16" ht="15.75" customHeight="1" x14ac:dyDescent="0.3">
      <c r="A77" s="16"/>
      <c r="B77" s="14" t="s">
        <v>61</v>
      </c>
      <c r="C77" s="15" t="s">
        <v>33</v>
      </c>
      <c r="D77" s="26">
        <v>5.5</v>
      </c>
      <c r="E77" s="47" t="s">
        <v>163</v>
      </c>
      <c r="F77" s="26">
        <f>10%*D77</f>
        <v>0.55000000000000004</v>
      </c>
      <c r="G77" s="26">
        <v>0</v>
      </c>
      <c r="H77" s="26">
        <f t="shared" si="16"/>
        <v>0.55000000000000004</v>
      </c>
      <c r="I77" s="19">
        <v>0</v>
      </c>
      <c r="J77" s="19">
        <v>0</v>
      </c>
      <c r="K77" s="19">
        <v>0</v>
      </c>
      <c r="L77" s="19">
        <v>0</v>
      </c>
      <c r="M77" s="19">
        <f t="shared" si="17"/>
        <v>0</v>
      </c>
      <c r="N77" s="35"/>
      <c r="O77" s="36" t="s">
        <v>146</v>
      </c>
      <c r="P77" s="16"/>
    </row>
    <row r="78" spans="1:16" ht="17.25" customHeight="1" x14ac:dyDescent="0.3">
      <c r="A78" s="16"/>
      <c r="B78" s="14" t="s">
        <v>62</v>
      </c>
      <c r="C78" s="15" t="s">
        <v>32</v>
      </c>
      <c r="D78" s="26">
        <v>1.25</v>
      </c>
      <c r="E78" s="47" t="s">
        <v>163</v>
      </c>
      <c r="F78" s="26">
        <f>2%*D78</f>
        <v>2.5000000000000001E-2</v>
      </c>
      <c r="G78" s="26">
        <v>0</v>
      </c>
      <c r="H78" s="26">
        <f t="shared" si="16"/>
        <v>2.5000000000000001E-2</v>
      </c>
      <c r="I78" s="19">
        <v>0</v>
      </c>
      <c r="J78" s="19">
        <v>0</v>
      </c>
      <c r="K78" s="19">
        <v>0</v>
      </c>
      <c r="L78" s="19">
        <v>0</v>
      </c>
      <c r="M78" s="19">
        <f t="shared" si="17"/>
        <v>0</v>
      </c>
      <c r="N78" s="35"/>
      <c r="O78" s="36"/>
      <c r="P78" s="16"/>
    </row>
    <row r="79" spans="1:16" ht="16.5" customHeight="1" x14ac:dyDescent="0.3">
      <c r="A79" s="16"/>
      <c r="B79" s="14">
        <v>9</v>
      </c>
      <c r="C79" s="15" t="s">
        <v>30</v>
      </c>
      <c r="D79" s="26">
        <v>10</v>
      </c>
      <c r="E79" s="47" t="s">
        <v>163</v>
      </c>
      <c r="F79" s="26">
        <f>12%*D79</f>
        <v>1.2</v>
      </c>
      <c r="G79" s="26">
        <v>0</v>
      </c>
      <c r="H79" s="26">
        <f t="shared" si="16"/>
        <v>1.2</v>
      </c>
      <c r="I79" s="19">
        <v>0</v>
      </c>
      <c r="J79" s="19">
        <v>0</v>
      </c>
      <c r="K79" s="19">
        <v>0</v>
      </c>
      <c r="L79" s="19">
        <v>0</v>
      </c>
      <c r="M79" s="19">
        <f t="shared" si="17"/>
        <v>0</v>
      </c>
      <c r="N79" s="35"/>
      <c r="O79" s="36"/>
      <c r="P79" s="16"/>
    </row>
    <row r="80" spans="1:16" ht="17.25" customHeight="1" x14ac:dyDescent="0.3">
      <c r="A80" s="87"/>
      <c r="B80" s="55" t="s">
        <v>64</v>
      </c>
      <c r="C80" s="56" t="s">
        <v>31</v>
      </c>
      <c r="D80" s="57">
        <v>4</v>
      </c>
      <c r="E80" s="85" t="s">
        <v>164</v>
      </c>
      <c r="F80" s="26">
        <f>15%*D80</f>
        <v>0.6</v>
      </c>
      <c r="G80" s="26">
        <v>0</v>
      </c>
      <c r="H80" s="26">
        <f t="shared" si="16"/>
        <v>0.6</v>
      </c>
      <c r="I80" s="79">
        <v>0</v>
      </c>
      <c r="J80" s="79">
        <v>0</v>
      </c>
      <c r="K80" s="79">
        <v>0</v>
      </c>
      <c r="L80" s="79">
        <v>0</v>
      </c>
      <c r="M80" s="79">
        <f t="shared" si="17"/>
        <v>0</v>
      </c>
      <c r="N80" s="80"/>
      <c r="O80" s="81"/>
      <c r="P80" s="87"/>
    </row>
    <row r="81" spans="1:16" ht="18.75" customHeight="1" x14ac:dyDescent="0.3">
      <c r="A81" s="75"/>
      <c r="B81" s="71"/>
      <c r="C81" s="72"/>
      <c r="D81" s="73">
        <f>SUM(D72:D80)</f>
        <v>97.65</v>
      </c>
      <c r="E81" s="74"/>
      <c r="F81" s="73">
        <f t="shared" ref="F81:K81" si="18">SUM(F72:F80)</f>
        <v>12.4193</v>
      </c>
      <c r="G81" s="83">
        <f t="shared" si="18"/>
        <v>0.72440000000000004</v>
      </c>
      <c r="H81" s="73">
        <f t="shared" si="18"/>
        <v>13.143700000000001</v>
      </c>
      <c r="I81" s="83">
        <f t="shared" si="18"/>
        <v>0</v>
      </c>
      <c r="J81" s="83">
        <f t="shared" si="18"/>
        <v>0</v>
      </c>
      <c r="K81" s="83">
        <f t="shared" si="18"/>
        <v>4</v>
      </c>
      <c r="L81" s="83">
        <f>SUM(L56:L63)</f>
        <v>0</v>
      </c>
      <c r="M81" s="83">
        <f>SUM(M72:M80)</f>
        <v>4</v>
      </c>
      <c r="N81" s="76"/>
      <c r="O81" s="77"/>
      <c r="P81" s="75"/>
    </row>
    <row r="82" spans="1:16" ht="17.25" customHeight="1" x14ac:dyDescent="0.3">
      <c r="A82" s="103">
        <v>6</v>
      </c>
      <c r="B82" s="104" t="s">
        <v>116</v>
      </c>
      <c r="C82" s="104"/>
      <c r="D82" s="105"/>
      <c r="E82" s="106"/>
      <c r="F82" s="105"/>
      <c r="G82" s="107"/>
      <c r="H82" s="105"/>
      <c r="I82" s="107"/>
      <c r="J82" s="107"/>
      <c r="K82" s="107"/>
      <c r="L82" s="107"/>
      <c r="M82" s="107"/>
      <c r="N82" s="114"/>
      <c r="O82" s="112"/>
      <c r="P82" s="104"/>
    </row>
    <row r="83" spans="1:16" ht="58.5" customHeight="1" x14ac:dyDescent="0.3">
      <c r="A83" s="16"/>
      <c r="B83" s="98" t="s">
        <v>57</v>
      </c>
      <c r="C83" s="99" t="s">
        <v>30</v>
      </c>
      <c r="D83" s="96">
        <v>24.5</v>
      </c>
      <c r="E83" s="101" t="s">
        <v>188</v>
      </c>
      <c r="F83" s="96">
        <f>4%*D83</f>
        <v>0.98</v>
      </c>
      <c r="G83" s="97">
        <v>0</v>
      </c>
      <c r="H83" s="96">
        <f t="shared" ref="H83:H87" si="19">SUM(F83:G83)</f>
        <v>0.98</v>
      </c>
      <c r="I83" s="97">
        <v>0</v>
      </c>
      <c r="J83" s="97"/>
      <c r="K83" s="97">
        <v>1</v>
      </c>
      <c r="L83" s="97">
        <v>0</v>
      </c>
      <c r="M83" s="97">
        <f>SUM(I83:L83)</f>
        <v>1</v>
      </c>
      <c r="N83" s="35"/>
      <c r="O83" s="40" t="s">
        <v>239</v>
      </c>
      <c r="P83" s="16"/>
    </row>
    <row r="84" spans="1:16" ht="22.5" customHeight="1" x14ac:dyDescent="0.3">
      <c r="A84" s="16"/>
      <c r="B84" s="14" t="s">
        <v>58</v>
      </c>
      <c r="C84" s="15" t="s">
        <v>44</v>
      </c>
      <c r="D84" s="26">
        <v>72.03</v>
      </c>
      <c r="E84" s="47" t="s">
        <v>182</v>
      </c>
      <c r="F84" s="26">
        <f>5%*D84</f>
        <v>3.6015000000000001</v>
      </c>
      <c r="G84" s="19">
        <v>0</v>
      </c>
      <c r="H84" s="26">
        <f t="shared" si="19"/>
        <v>3.6015000000000001</v>
      </c>
      <c r="I84" s="19">
        <v>0</v>
      </c>
      <c r="J84" s="19"/>
      <c r="K84" s="19">
        <v>2</v>
      </c>
      <c r="L84" s="19">
        <v>0</v>
      </c>
      <c r="M84" s="19">
        <f t="shared" ref="M84:M87" si="20">SUM(I84:L84)</f>
        <v>2</v>
      </c>
      <c r="N84" s="35"/>
      <c r="O84" s="36"/>
      <c r="P84" s="16"/>
    </row>
    <row r="85" spans="1:16" ht="30.75" customHeight="1" x14ac:dyDescent="0.3">
      <c r="A85" s="16"/>
      <c r="B85" s="14"/>
      <c r="C85" s="15"/>
      <c r="D85" s="26"/>
      <c r="E85" s="101" t="s">
        <v>181</v>
      </c>
      <c r="F85" s="96">
        <f>10%*D84</f>
        <v>7.2030000000000003</v>
      </c>
      <c r="G85" s="97">
        <v>0</v>
      </c>
      <c r="H85" s="96">
        <f t="shared" si="19"/>
        <v>7.2030000000000003</v>
      </c>
      <c r="I85" s="97">
        <v>0</v>
      </c>
      <c r="J85" s="97"/>
      <c r="K85" s="97">
        <v>0</v>
      </c>
      <c r="L85" s="97">
        <v>0</v>
      </c>
      <c r="M85" s="97">
        <f>SUM(I85:L85)</f>
        <v>0</v>
      </c>
      <c r="N85" s="35"/>
      <c r="O85" s="36"/>
      <c r="P85" s="16"/>
    </row>
    <row r="86" spans="1:16" ht="30" customHeight="1" x14ac:dyDescent="0.3">
      <c r="A86" s="16"/>
      <c r="B86" s="14" t="s">
        <v>59</v>
      </c>
      <c r="C86" s="15" t="s">
        <v>33</v>
      </c>
      <c r="D86" s="26">
        <v>14.2</v>
      </c>
      <c r="E86" s="101" t="s">
        <v>181</v>
      </c>
      <c r="F86" s="26">
        <f>11%*D86</f>
        <v>1.5619999999999998</v>
      </c>
      <c r="G86" s="19">
        <v>0</v>
      </c>
      <c r="H86" s="26">
        <f t="shared" si="19"/>
        <v>1.5619999999999998</v>
      </c>
      <c r="I86" s="19">
        <v>0</v>
      </c>
      <c r="J86" s="19"/>
      <c r="K86" s="19"/>
      <c r="L86" s="19">
        <v>0</v>
      </c>
      <c r="M86" s="19">
        <f t="shared" si="20"/>
        <v>0</v>
      </c>
      <c r="N86" s="35"/>
      <c r="O86" s="36"/>
      <c r="P86" s="16"/>
    </row>
    <row r="87" spans="1:16" ht="41.25" customHeight="1" x14ac:dyDescent="0.3">
      <c r="A87" s="108"/>
      <c r="B87" s="128" t="s">
        <v>61</v>
      </c>
      <c r="C87" s="126" t="s">
        <v>35</v>
      </c>
      <c r="D87" s="127">
        <v>35.72</v>
      </c>
      <c r="E87" s="142" t="s">
        <v>183</v>
      </c>
      <c r="F87" s="127">
        <f>8%*D87</f>
        <v>2.8576000000000001</v>
      </c>
      <c r="G87" s="143">
        <v>0</v>
      </c>
      <c r="H87" s="127">
        <f t="shared" si="19"/>
        <v>2.8576000000000001</v>
      </c>
      <c r="I87" s="143">
        <v>0</v>
      </c>
      <c r="J87" s="143">
        <v>0</v>
      </c>
      <c r="K87" s="143">
        <v>0</v>
      </c>
      <c r="L87" s="143">
        <v>0</v>
      </c>
      <c r="M87" s="143">
        <f t="shared" si="20"/>
        <v>0</v>
      </c>
      <c r="N87" s="115"/>
      <c r="O87" s="113"/>
      <c r="P87" s="108"/>
    </row>
    <row r="88" spans="1:16" ht="20.25" customHeight="1" x14ac:dyDescent="0.3">
      <c r="A88" s="75"/>
      <c r="B88" s="136"/>
      <c r="C88" s="137"/>
      <c r="D88" s="138">
        <f>SUM(D83:D87)</f>
        <v>146.44999999999999</v>
      </c>
      <c r="E88" s="139"/>
      <c r="F88" s="138">
        <f t="shared" ref="F88:M88" si="21">SUM(F83:F87)</f>
        <v>16.2041</v>
      </c>
      <c r="G88" s="140">
        <f t="shared" si="21"/>
        <v>0</v>
      </c>
      <c r="H88" s="138">
        <f t="shared" si="21"/>
        <v>16.2041</v>
      </c>
      <c r="I88" s="140">
        <f t="shared" si="21"/>
        <v>0</v>
      </c>
      <c r="J88" s="140">
        <f t="shared" si="21"/>
        <v>0</v>
      </c>
      <c r="K88" s="140">
        <f t="shared" si="21"/>
        <v>3</v>
      </c>
      <c r="L88" s="140">
        <f t="shared" si="21"/>
        <v>0</v>
      </c>
      <c r="M88" s="140">
        <f t="shared" si="21"/>
        <v>3</v>
      </c>
      <c r="N88" s="76"/>
      <c r="O88" s="77"/>
      <c r="P88" s="75"/>
    </row>
    <row r="89" spans="1:16" ht="15.75" customHeight="1" x14ac:dyDescent="0.3">
      <c r="A89" s="63">
        <v>7</v>
      </c>
      <c r="B89" s="8" t="s">
        <v>117</v>
      </c>
      <c r="C89" s="10"/>
      <c r="D89" s="90"/>
      <c r="E89" s="67"/>
      <c r="F89" s="66"/>
      <c r="G89" s="82"/>
      <c r="H89" s="66"/>
      <c r="I89" s="82"/>
      <c r="J89" s="82"/>
      <c r="K89" s="82"/>
      <c r="L89" s="82"/>
      <c r="M89" s="82"/>
      <c r="N89" s="69"/>
      <c r="O89" s="70"/>
      <c r="P89" s="5"/>
    </row>
    <row r="90" spans="1:16" ht="24.75" customHeight="1" x14ac:dyDescent="0.3">
      <c r="A90" s="16"/>
      <c r="B90" s="14" t="s">
        <v>57</v>
      </c>
      <c r="C90" s="15" t="s">
        <v>22</v>
      </c>
      <c r="D90" s="26">
        <v>296.95</v>
      </c>
      <c r="E90" s="101" t="s">
        <v>203</v>
      </c>
      <c r="F90" s="96">
        <f>5%*D90</f>
        <v>14.8475</v>
      </c>
      <c r="G90" s="97">
        <v>0</v>
      </c>
      <c r="H90" s="96">
        <f t="shared" ref="H90:H100" si="22">SUM(F90:G90)</f>
        <v>14.8475</v>
      </c>
      <c r="I90" s="97">
        <v>0</v>
      </c>
      <c r="J90" s="97">
        <v>6</v>
      </c>
      <c r="K90" s="97">
        <v>0</v>
      </c>
      <c r="L90" s="97">
        <v>4</v>
      </c>
      <c r="M90" s="97">
        <f>SUM(I90:L90)</f>
        <v>10</v>
      </c>
      <c r="N90" s="35"/>
      <c r="O90" s="40" t="s">
        <v>211</v>
      </c>
      <c r="P90" s="87"/>
    </row>
    <row r="91" spans="1:16" ht="18.75" customHeight="1" x14ac:dyDescent="0.3">
      <c r="A91" s="16"/>
      <c r="B91" s="14"/>
      <c r="C91" s="15"/>
      <c r="D91" s="26"/>
      <c r="E91" s="101" t="s">
        <v>220</v>
      </c>
      <c r="F91" s="96">
        <f>3%*D90</f>
        <v>8.9085000000000001</v>
      </c>
      <c r="G91" s="97"/>
      <c r="H91" s="96">
        <f>SUM(F91:G91)</f>
        <v>8.9085000000000001</v>
      </c>
      <c r="I91" s="97"/>
      <c r="J91" s="97"/>
      <c r="K91" s="97"/>
      <c r="L91" s="97"/>
      <c r="M91" s="97"/>
      <c r="N91" s="35"/>
      <c r="O91" s="40"/>
      <c r="P91" s="87"/>
    </row>
    <row r="92" spans="1:16" ht="32.25" customHeight="1" x14ac:dyDescent="0.3">
      <c r="A92" s="16"/>
      <c r="B92" s="14" t="s">
        <v>58</v>
      </c>
      <c r="C92" s="15" t="s">
        <v>42</v>
      </c>
      <c r="D92" s="26">
        <v>190.5</v>
      </c>
      <c r="E92" s="101" t="s">
        <v>203</v>
      </c>
      <c r="F92" s="96">
        <f>8%*D92</f>
        <v>15.24</v>
      </c>
      <c r="G92" s="97">
        <v>0</v>
      </c>
      <c r="H92" s="96">
        <f t="shared" si="22"/>
        <v>15.24</v>
      </c>
      <c r="I92" s="97">
        <v>0</v>
      </c>
      <c r="J92" s="97">
        <v>2</v>
      </c>
      <c r="K92" s="97">
        <v>0</v>
      </c>
      <c r="L92" s="97">
        <v>4</v>
      </c>
      <c r="M92" s="97">
        <f>SUM(I92:L92)</f>
        <v>6</v>
      </c>
      <c r="N92" s="35"/>
      <c r="O92" s="40" t="s">
        <v>219</v>
      </c>
      <c r="P92" s="87"/>
    </row>
    <row r="93" spans="1:16" ht="18.75" customHeight="1" x14ac:dyDescent="0.3">
      <c r="A93" s="16"/>
      <c r="B93" s="14"/>
      <c r="C93" s="15"/>
      <c r="D93" s="26"/>
      <c r="E93" s="101" t="s">
        <v>220</v>
      </c>
      <c r="F93" s="96">
        <f>9%*D92</f>
        <v>17.145</v>
      </c>
      <c r="G93" s="97"/>
      <c r="H93" s="96">
        <f>SUM(F93:G93)</f>
        <v>17.145</v>
      </c>
      <c r="I93" s="97"/>
      <c r="J93" s="97"/>
      <c r="K93" s="97"/>
      <c r="L93" s="97"/>
      <c r="M93" s="97"/>
      <c r="N93" s="35"/>
      <c r="O93" s="40"/>
      <c r="P93" s="87"/>
    </row>
    <row r="94" spans="1:16" ht="22.5" customHeight="1" x14ac:dyDescent="0.3">
      <c r="A94" s="16"/>
      <c r="B94" s="14" t="s">
        <v>59</v>
      </c>
      <c r="C94" s="15" t="s">
        <v>21</v>
      </c>
      <c r="D94" s="18" t="s">
        <v>201</v>
      </c>
      <c r="E94" s="101" t="s">
        <v>203</v>
      </c>
      <c r="F94" s="145"/>
      <c r="G94" s="145">
        <v>5</v>
      </c>
      <c r="H94" s="96">
        <f t="shared" si="22"/>
        <v>5</v>
      </c>
      <c r="I94" s="97">
        <v>0</v>
      </c>
      <c r="J94" s="97"/>
      <c r="K94" s="97">
        <v>0</v>
      </c>
      <c r="L94" s="97">
        <v>2</v>
      </c>
      <c r="M94" s="97">
        <f>SUM(I94:L94)</f>
        <v>2</v>
      </c>
      <c r="N94" s="35"/>
      <c r="O94" s="36"/>
      <c r="P94" s="87"/>
    </row>
    <row r="95" spans="1:16" ht="18.75" customHeight="1" x14ac:dyDescent="0.3">
      <c r="A95" s="16"/>
      <c r="B95" s="14"/>
      <c r="C95" s="15"/>
      <c r="D95" s="18"/>
      <c r="E95" s="101" t="s">
        <v>220</v>
      </c>
      <c r="F95" s="145"/>
      <c r="G95" s="97">
        <v>5</v>
      </c>
      <c r="H95" s="96">
        <f>SUM(F95:G95)</f>
        <v>5</v>
      </c>
      <c r="I95" s="97"/>
      <c r="J95" s="97"/>
      <c r="K95" s="97"/>
      <c r="L95" s="97"/>
      <c r="M95" s="97"/>
      <c r="N95" s="35"/>
      <c r="O95" s="36"/>
      <c r="P95" s="87"/>
    </row>
    <row r="96" spans="1:16" ht="24" customHeight="1" x14ac:dyDescent="0.3">
      <c r="A96" s="16"/>
      <c r="B96" s="14" t="s">
        <v>60</v>
      </c>
      <c r="C96" s="15" t="s">
        <v>43</v>
      </c>
      <c r="D96" s="26">
        <v>244.8</v>
      </c>
      <c r="E96" s="101" t="s">
        <v>221</v>
      </c>
      <c r="F96" s="96">
        <f>8%*D96</f>
        <v>19.584</v>
      </c>
      <c r="G96" s="97">
        <v>0</v>
      </c>
      <c r="H96" s="96">
        <f t="shared" si="22"/>
        <v>19.584</v>
      </c>
      <c r="I96" s="97">
        <v>0</v>
      </c>
      <c r="J96" s="97">
        <v>6</v>
      </c>
      <c r="K96" s="97">
        <v>0</v>
      </c>
      <c r="L96" s="97">
        <v>5</v>
      </c>
      <c r="M96" s="97">
        <f>SUM(I96:L96)</f>
        <v>11</v>
      </c>
      <c r="N96" s="35"/>
      <c r="O96" s="36"/>
      <c r="P96" s="87"/>
    </row>
    <row r="97" spans="1:16" ht="20.25" customHeight="1" x14ac:dyDescent="0.3">
      <c r="A97" s="16"/>
      <c r="B97" s="14"/>
      <c r="C97" s="15"/>
      <c r="D97" s="26"/>
      <c r="E97" s="101" t="s">
        <v>220</v>
      </c>
      <c r="F97" s="96"/>
      <c r="G97" s="96">
        <f>15%*D96</f>
        <v>36.72</v>
      </c>
      <c r="H97" s="96">
        <f>SUM(F97:G97)</f>
        <v>36.72</v>
      </c>
      <c r="I97" s="97"/>
      <c r="J97" s="97"/>
      <c r="K97" s="97"/>
      <c r="L97" s="97"/>
      <c r="M97" s="97"/>
      <c r="N97" s="35"/>
      <c r="O97" s="36"/>
      <c r="P97" s="87"/>
    </row>
    <row r="98" spans="1:16" ht="23.25" customHeight="1" x14ac:dyDescent="0.3">
      <c r="A98" s="16"/>
      <c r="B98" s="14" t="s">
        <v>61</v>
      </c>
      <c r="C98" s="15" t="s">
        <v>44</v>
      </c>
      <c r="D98" s="26">
        <v>57.95</v>
      </c>
      <c r="E98" s="101" t="s">
        <v>203</v>
      </c>
      <c r="F98" s="26">
        <f>10%*D98</f>
        <v>5.7950000000000008</v>
      </c>
      <c r="G98" s="19">
        <v>0</v>
      </c>
      <c r="H98" s="26">
        <f t="shared" si="22"/>
        <v>5.7950000000000008</v>
      </c>
      <c r="I98" s="19">
        <v>0</v>
      </c>
      <c r="J98" s="19"/>
      <c r="K98" s="19"/>
      <c r="L98" s="19">
        <v>0</v>
      </c>
      <c r="M98" s="19">
        <f t="shared" ref="M98:M101" si="23">SUM(I98:L98)</f>
        <v>0</v>
      </c>
      <c r="N98" s="35"/>
      <c r="O98" s="36"/>
      <c r="P98" s="87"/>
    </row>
    <row r="99" spans="1:16" ht="18.75" customHeight="1" x14ac:dyDescent="0.3">
      <c r="A99" s="16"/>
      <c r="B99" s="14"/>
      <c r="C99" s="15"/>
      <c r="D99" s="26"/>
      <c r="E99" s="101" t="s">
        <v>220</v>
      </c>
      <c r="F99" s="26"/>
      <c r="G99" s="26">
        <f>11%*D98</f>
        <v>6.3745000000000003</v>
      </c>
      <c r="H99" s="26">
        <f>SUM(F99:G99)</f>
        <v>6.3745000000000003</v>
      </c>
      <c r="I99" s="97">
        <v>0</v>
      </c>
      <c r="J99" s="97">
        <v>0</v>
      </c>
      <c r="K99" s="97">
        <v>0</v>
      </c>
      <c r="L99" s="97">
        <v>0</v>
      </c>
      <c r="M99" s="97">
        <f t="shared" si="23"/>
        <v>0</v>
      </c>
      <c r="N99" s="35"/>
      <c r="O99" s="36"/>
      <c r="P99" s="87"/>
    </row>
    <row r="100" spans="1:16" ht="18.75" customHeight="1" x14ac:dyDescent="0.3">
      <c r="A100" s="16"/>
      <c r="B100" s="14" t="s">
        <v>62</v>
      </c>
      <c r="C100" s="15" t="s">
        <v>27</v>
      </c>
      <c r="D100" s="26">
        <v>2.5</v>
      </c>
      <c r="E100" s="101" t="s">
        <v>203</v>
      </c>
      <c r="F100" s="96">
        <f>5%*D100</f>
        <v>0.125</v>
      </c>
      <c r="G100" s="97">
        <v>0</v>
      </c>
      <c r="H100" s="96">
        <f t="shared" si="22"/>
        <v>0.125</v>
      </c>
      <c r="I100" s="97">
        <v>0</v>
      </c>
      <c r="J100" s="97">
        <v>0</v>
      </c>
      <c r="K100" s="97">
        <v>0</v>
      </c>
      <c r="L100" s="97">
        <v>0</v>
      </c>
      <c r="M100" s="97">
        <f t="shared" si="23"/>
        <v>0</v>
      </c>
      <c r="N100" s="35"/>
      <c r="O100" s="36"/>
      <c r="P100" s="87"/>
    </row>
    <row r="101" spans="1:16" ht="18.75" customHeight="1" x14ac:dyDescent="0.3">
      <c r="A101" s="87"/>
      <c r="B101" s="55"/>
      <c r="C101" s="56"/>
      <c r="D101" s="57"/>
      <c r="E101" s="132" t="s">
        <v>220</v>
      </c>
      <c r="F101" s="124">
        <f>10%*D100</f>
        <v>0.25</v>
      </c>
      <c r="G101" s="124">
        <f>11%*D100</f>
        <v>0.27500000000000002</v>
      </c>
      <c r="H101" s="124">
        <f>SUM(F101:G101)</f>
        <v>0.52500000000000002</v>
      </c>
      <c r="I101" s="133">
        <v>0</v>
      </c>
      <c r="J101" s="133">
        <v>0</v>
      </c>
      <c r="K101" s="133">
        <v>0</v>
      </c>
      <c r="L101" s="133">
        <v>0</v>
      </c>
      <c r="M101" s="133">
        <f t="shared" si="23"/>
        <v>0</v>
      </c>
      <c r="N101" s="80"/>
      <c r="O101" s="81"/>
      <c r="P101" s="87"/>
    </row>
    <row r="102" spans="1:16" ht="18.75" customHeight="1" x14ac:dyDescent="0.3">
      <c r="A102" s="75"/>
      <c r="B102" s="71"/>
      <c r="C102" s="72"/>
      <c r="D102" s="73">
        <f>SUM(D90:D101)</f>
        <v>792.7</v>
      </c>
      <c r="E102" s="74"/>
      <c r="F102" s="73">
        <f>SUM(F83:F101)</f>
        <v>114.3032</v>
      </c>
      <c r="G102" s="83">
        <f>SUM(G83:G101)</f>
        <v>53.369499999999995</v>
      </c>
      <c r="H102" s="73">
        <f>SUM(H83:H101)</f>
        <v>167.67270000000002</v>
      </c>
      <c r="I102" s="83">
        <f>SUM(I90:I101)</f>
        <v>0</v>
      </c>
      <c r="J102" s="83">
        <f>SUM(J90:J101)</f>
        <v>14</v>
      </c>
      <c r="K102" s="83">
        <f>SUM(K90:K101)</f>
        <v>0</v>
      </c>
      <c r="L102" s="83">
        <f>SUM(L90:L101)</f>
        <v>15</v>
      </c>
      <c r="M102" s="83">
        <f>SUM(M89:M101)</f>
        <v>29</v>
      </c>
      <c r="N102" s="71"/>
      <c r="O102" s="72"/>
      <c r="P102" s="75"/>
    </row>
    <row r="103" spans="1:16" ht="8.25" customHeight="1" x14ac:dyDescent="0.3">
      <c r="F103" s="2"/>
      <c r="G103" s="2"/>
      <c r="H103" s="2"/>
      <c r="I103" s="2"/>
      <c r="J103" s="2"/>
      <c r="K103" s="2"/>
      <c r="L103" s="2"/>
      <c r="M103" s="2"/>
    </row>
    <row r="104" spans="1:16" ht="14.25" customHeight="1" x14ac:dyDescent="0.3">
      <c r="F104" s="2"/>
      <c r="G104" s="2"/>
      <c r="H104" s="2"/>
      <c r="I104" s="2"/>
      <c r="J104" s="2" t="s">
        <v>246</v>
      </c>
      <c r="K104" s="2"/>
      <c r="L104" s="2"/>
      <c r="M104" s="2"/>
    </row>
    <row r="105" spans="1:16" ht="12" customHeight="1" x14ac:dyDescent="0.3">
      <c r="A105" s="395" t="s">
        <v>80</v>
      </c>
      <c r="B105" s="395"/>
      <c r="C105" s="395"/>
      <c r="D105" s="395"/>
    </row>
    <row r="106" spans="1:16" x14ac:dyDescent="0.3">
      <c r="A106" s="395" t="s">
        <v>81</v>
      </c>
      <c r="B106" s="395"/>
      <c r="C106" s="395"/>
      <c r="D106" s="395"/>
      <c r="J106" s="1" t="s">
        <v>85</v>
      </c>
    </row>
    <row r="107" spans="1:16" x14ac:dyDescent="0.3">
      <c r="A107" s="395" t="s">
        <v>82</v>
      </c>
      <c r="B107" s="395"/>
      <c r="C107" s="395"/>
      <c r="D107" s="395"/>
      <c r="J107" s="3" t="s">
        <v>86</v>
      </c>
      <c r="K107" s="1" t="s">
        <v>87</v>
      </c>
      <c r="O107" s="1" t="s">
        <v>90</v>
      </c>
    </row>
    <row r="108" spans="1:16" x14ac:dyDescent="0.3">
      <c r="A108" s="395" t="s">
        <v>83</v>
      </c>
      <c r="B108" s="395"/>
      <c r="C108" s="395"/>
      <c r="D108" s="395"/>
      <c r="K108" s="1" t="s">
        <v>91</v>
      </c>
    </row>
    <row r="109" spans="1:16" ht="13.5" customHeight="1" x14ac:dyDescent="0.3"/>
    <row r="110" spans="1:16" ht="13.5" customHeight="1" x14ac:dyDescent="0.3"/>
    <row r="111" spans="1:16" x14ac:dyDescent="0.3">
      <c r="A111" s="398" t="s">
        <v>175</v>
      </c>
      <c r="B111" s="398"/>
      <c r="C111" s="398"/>
      <c r="D111" s="398"/>
      <c r="J111" s="3" t="s">
        <v>88</v>
      </c>
      <c r="K111" s="1" t="s">
        <v>89</v>
      </c>
      <c r="O111" s="1" t="s">
        <v>90</v>
      </c>
    </row>
    <row r="112" spans="1:16" x14ac:dyDescent="0.3">
      <c r="A112" s="395" t="s">
        <v>190</v>
      </c>
      <c r="B112" s="395"/>
      <c r="C112" s="395"/>
      <c r="D112" s="395"/>
      <c r="K112" s="1" t="s">
        <v>92</v>
      </c>
    </row>
  </sheetData>
  <mergeCells count="17">
    <mergeCell ref="A1:P1"/>
    <mergeCell ref="A6:A7"/>
    <mergeCell ref="B6:C6"/>
    <mergeCell ref="D6:D7"/>
    <mergeCell ref="E6:E7"/>
    <mergeCell ref="F6:H6"/>
    <mergeCell ref="I6:M6"/>
    <mergeCell ref="N6:O7"/>
    <mergeCell ref="P6:P7"/>
    <mergeCell ref="B7:C7"/>
    <mergeCell ref="A112:D112"/>
    <mergeCell ref="O23:O27"/>
    <mergeCell ref="A105:D105"/>
    <mergeCell ref="A106:D106"/>
    <mergeCell ref="A107:D107"/>
    <mergeCell ref="A108:D108"/>
    <mergeCell ref="A111:D111"/>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P112"/>
  <sheetViews>
    <sheetView view="pageBreakPreview" topLeftCell="A82" zoomScale="96" zoomScaleNormal="100" zoomScaleSheetLayoutView="96" workbookViewId="0">
      <selection activeCell="E92" sqref="E92"/>
    </sheetView>
  </sheetViews>
  <sheetFormatPr defaultColWidth="9.1796875" defaultRowHeight="14" x14ac:dyDescent="0.3"/>
  <cols>
    <col min="1" max="1" width="9" style="1" customWidth="1"/>
    <col min="2" max="2" width="2.1796875" style="1" customWidth="1"/>
    <col min="3" max="3" width="19" style="1" customWidth="1"/>
    <col min="4" max="4" width="11.54296875" style="1" customWidth="1"/>
    <col min="5" max="5" width="27" style="1" customWidth="1"/>
    <col min="6" max="6" width="9" style="1" bestFit="1" customWidth="1"/>
    <col min="7" max="7" width="8.81640625" style="1" customWidth="1"/>
    <col min="8" max="8" width="9" style="1" customWidth="1"/>
    <col min="9" max="9" width="6.453125" style="1" bestFit="1" customWidth="1"/>
    <col min="10" max="10" width="6.81640625" style="1" bestFit="1" customWidth="1"/>
    <col min="11" max="11" width="8.26953125" style="1" customWidth="1"/>
    <col min="12" max="12" width="5.54296875" style="1" bestFit="1" customWidth="1"/>
    <col min="13" max="13" width="6.81640625" style="1" bestFit="1" customWidth="1"/>
    <col min="14" max="14" width="2.1796875" style="1" customWidth="1"/>
    <col min="15" max="15" width="27.81640625" style="1" customWidth="1"/>
    <col min="16" max="16" width="10.26953125" style="1" customWidth="1"/>
    <col min="17" max="16384" width="9.1796875" style="1"/>
  </cols>
  <sheetData>
    <row r="1" spans="1:16" x14ac:dyDescent="0.3">
      <c r="A1" s="385" t="s">
        <v>177</v>
      </c>
      <c r="B1" s="385"/>
      <c r="C1" s="385"/>
      <c r="D1" s="385"/>
      <c r="E1" s="385"/>
      <c r="F1" s="385"/>
      <c r="G1" s="385"/>
      <c r="H1" s="385"/>
      <c r="I1" s="385"/>
      <c r="J1" s="385"/>
      <c r="K1" s="385"/>
      <c r="L1" s="385"/>
      <c r="M1" s="385"/>
      <c r="N1" s="385"/>
      <c r="O1" s="385"/>
      <c r="P1" s="385"/>
    </row>
    <row r="2" spans="1:16" ht="14.25" customHeight="1" x14ac:dyDescent="0.3"/>
    <row r="3" spans="1:16" ht="14.25" customHeight="1" x14ac:dyDescent="0.3">
      <c r="A3" s="1" t="s">
        <v>1</v>
      </c>
      <c r="B3" s="1" t="s">
        <v>78</v>
      </c>
      <c r="C3" s="1" t="s">
        <v>77</v>
      </c>
    </row>
    <row r="4" spans="1:16" ht="14.25" customHeight="1" x14ac:dyDescent="0.3">
      <c r="A4" s="1" t="s">
        <v>2</v>
      </c>
      <c r="B4" s="1" t="s">
        <v>78</v>
      </c>
      <c r="C4" s="4" t="s">
        <v>248</v>
      </c>
    </row>
    <row r="6" spans="1:16" x14ac:dyDescent="0.3">
      <c r="A6" s="386" t="s">
        <v>3</v>
      </c>
      <c r="B6" s="388" t="s">
        <v>4</v>
      </c>
      <c r="C6" s="388"/>
      <c r="D6" s="389" t="s">
        <v>6</v>
      </c>
      <c r="E6" s="391" t="s">
        <v>7</v>
      </c>
      <c r="F6" s="393" t="s">
        <v>170</v>
      </c>
      <c r="G6" s="393"/>
      <c r="H6" s="393"/>
      <c r="I6" s="393" t="s">
        <v>12</v>
      </c>
      <c r="J6" s="393"/>
      <c r="K6" s="393"/>
      <c r="L6" s="393"/>
      <c r="M6" s="393"/>
      <c r="N6" s="391" t="s">
        <v>17</v>
      </c>
      <c r="O6" s="391"/>
      <c r="P6" s="386" t="s">
        <v>192</v>
      </c>
    </row>
    <row r="7" spans="1:16" x14ac:dyDescent="0.3">
      <c r="A7" s="387"/>
      <c r="B7" s="394" t="s">
        <v>5</v>
      </c>
      <c r="C7" s="394"/>
      <c r="D7" s="390"/>
      <c r="E7" s="392"/>
      <c r="F7" s="12" t="s">
        <v>9</v>
      </c>
      <c r="G7" s="12" t="s">
        <v>10</v>
      </c>
      <c r="H7" s="12" t="s">
        <v>11</v>
      </c>
      <c r="I7" s="12" t="s">
        <v>13</v>
      </c>
      <c r="J7" s="12" t="s">
        <v>14</v>
      </c>
      <c r="K7" s="12" t="s">
        <v>15</v>
      </c>
      <c r="L7" s="12" t="s">
        <v>16</v>
      </c>
      <c r="M7" s="12" t="s">
        <v>11</v>
      </c>
      <c r="N7" s="392"/>
      <c r="O7" s="392"/>
      <c r="P7" s="387"/>
    </row>
    <row r="8" spans="1:16" ht="9" customHeight="1" x14ac:dyDescent="0.3">
      <c r="A8" s="5"/>
      <c r="B8" s="8"/>
      <c r="C8" s="10"/>
      <c r="D8" s="5"/>
      <c r="E8" s="5"/>
      <c r="F8" s="5"/>
      <c r="G8" s="5"/>
      <c r="H8" s="5"/>
      <c r="I8" s="5"/>
      <c r="J8" s="5"/>
      <c r="K8" s="5"/>
      <c r="L8" s="5"/>
      <c r="M8" s="5"/>
      <c r="N8" s="8"/>
      <c r="O8" s="10"/>
      <c r="P8" s="5"/>
    </row>
    <row r="9" spans="1:16" ht="18.75" customHeight="1" x14ac:dyDescent="0.3">
      <c r="A9" s="13">
        <v>1</v>
      </c>
      <c r="B9" s="14" t="s">
        <v>20</v>
      </c>
      <c r="C9" s="15"/>
      <c r="D9" s="16"/>
      <c r="E9" s="47"/>
      <c r="F9" s="16"/>
      <c r="G9" s="16"/>
      <c r="H9" s="16"/>
      <c r="I9" s="16"/>
      <c r="J9" s="16"/>
      <c r="K9" s="16"/>
      <c r="L9" s="16"/>
      <c r="M9" s="16"/>
      <c r="N9" s="35"/>
      <c r="O9" s="36"/>
      <c r="P9" s="16"/>
    </row>
    <row r="10" spans="1:16" ht="18.75" customHeight="1" x14ac:dyDescent="0.3">
      <c r="A10" s="13"/>
      <c r="B10" s="17" t="s">
        <v>57</v>
      </c>
      <c r="C10" s="15" t="s">
        <v>21</v>
      </c>
      <c r="D10" s="18">
        <v>409.08</v>
      </c>
      <c r="E10" s="47" t="s">
        <v>36</v>
      </c>
      <c r="F10" s="26">
        <f>4%*D10</f>
        <v>16.363199999999999</v>
      </c>
      <c r="G10" s="26">
        <f>1%*D10</f>
        <v>4.0907999999999998</v>
      </c>
      <c r="H10" s="26">
        <f>SUM(F10:G10)</f>
        <v>20.454000000000001</v>
      </c>
      <c r="I10" s="19">
        <v>0</v>
      </c>
      <c r="J10" s="19"/>
      <c r="K10" s="19">
        <v>4</v>
      </c>
      <c r="L10" s="19"/>
      <c r="M10" s="20">
        <f>SUM(I10:L10)</f>
        <v>4</v>
      </c>
      <c r="N10" s="37"/>
      <c r="O10" s="36"/>
      <c r="P10" s="16"/>
    </row>
    <row r="11" spans="1:16" ht="18.75" customHeight="1" x14ac:dyDescent="0.3">
      <c r="A11" s="13"/>
      <c r="B11" s="14"/>
      <c r="C11" s="15"/>
      <c r="D11" s="18"/>
      <c r="E11" s="47" t="s">
        <v>37</v>
      </c>
      <c r="F11" s="26">
        <f>8%*D10</f>
        <v>32.726399999999998</v>
      </c>
      <c r="G11" s="26">
        <f>1%*D10</f>
        <v>4.0907999999999998</v>
      </c>
      <c r="H11" s="26">
        <f>SUM(F11:G11)</f>
        <v>36.8172</v>
      </c>
      <c r="I11" s="19">
        <v>0</v>
      </c>
      <c r="J11" s="19"/>
      <c r="K11" s="19">
        <v>4</v>
      </c>
      <c r="L11" s="19">
        <v>0</v>
      </c>
      <c r="M11" s="20">
        <f t="shared" ref="M11:M20" si="0">SUM(I11:L11)</f>
        <v>4</v>
      </c>
      <c r="N11" s="37" t="s">
        <v>51</v>
      </c>
      <c r="O11" s="38" t="s">
        <v>50</v>
      </c>
      <c r="P11" s="16"/>
    </row>
    <row r="12" spans="1:16" ht="18.75" customHeight="1" x14ac:dyDescent="0.3">
      <c r="A12" s="13"/>
      <c r="B12" s="14"/>
      <c r="C12" s="15"/>
      <c r="D12" s="18"/>
      <c r="E12" s="47" t="s">
        <v>38</v>
      </c>
      <c r="F12" s="26">
        <f>8%*D10</f>
        <v>32.726399999999998</v>
      </c>
      <c r="G12" s="26">
        <f>4%*D10</f>
        <v>16.363199999999999</v>
      </c>
      <c r="H12" s="26">
        <f>SUM(F12:G12)</f>
        <v>49.089599999999997</v>
      </c>
      <c r="I12" s="19">
        <v>0</v>
      </c>
      <c r="J12" s="19"/>
      <c r="K12" s="19">
        <v>4</v>
      </c>
      <c r="L12" s="19">
        <v>0</v>
      </c>
      <c r="M12" s="20">
        <f t="shared" si="0"/>
        <v>4</v>
      </c>
      <c r="N12" s="37" t="s">
        <v>51</v>
      </c>
      <c r="O12" s="36" t="s">
        <v>49</v>
      </c>
      <c r="P12" s="16"/>
    </row>
    <row r="13" spans="1:16" ht="28.5" customHeight="1" x14ac:dyDescent="0.3">
      <c r="A13" s="13"/>
      <c r="B13" s="14"/>
      <c r="C13" s="15"/>
      <c r="D13" s="18"/>
      <c r="E13" s="48" t="s">
        <v>39</v>
      </c>
      <c r="F13" s="26">
        <f>29%*D10</f>
        <v>118.63319999999999</v>
      </c>
      <c r="G13" s="26">
        <f>4%*D10</f>
        <v>16.363199999999999</v>
      </c>
      <c r="H13" s="26">
        <f>SUM(F13:G13)</f>
        <v>134.99639999999999</v>
      </c>
      <c r="I13" s="22">
        <v>0</v>
      </c>
      <c r="J13" s="22">
        <v>0</v>
      </c>
      <c r="K13" s="22">
        <v>0</v>
      </c>
      <c r="L13" s="22">
        <v>0</v>
      </c>
      <c r="M13" s="23">
        <f t="shared" si="0"/>
        <v>0</v>
      </c>
      <c r="N13" s="39" t="s">
        <v>51</v>
      </c>
      <c r="O13" s="40" t="s">
        <v>48</v>
      </c>
      <c r="P13" s="16"/>
    </row>
    <row r="14" spans="1:16" ht="18.75" customHeight="1" x14ac:dyDescent="0.3">
      <c r="A14" s="13"/>
      <c r="B14" s="17" t="s">
        <v>58</v>
      </c>
      <c r="C14" s="15" t="s">
        <v>22</v>
      </c>
      <c r="D14" s="18">
        <v>728.56</v>
      </c>
      <c r="E14" s="47" t="s">
        <v>36</v>
      </c>
      <c r="F14" s="26">
        <f>5%*D14</f>
        <v>36.427999999999997</v>
      </c>
      <c r="G14" s="26">
        <f>4%*D14</f>
        <v>29.142399999999999</v>
      </c>
      <c r="H14" s="26">
        <f>SUM(F14:G14)</f>
        <v>65.570399999999992</v>
      </c>
      <c r="I14" s="19">
        <v>0</v>
      </c>
      <c r="J14" s="19"/>
      <c r="K14" s="19">
        <v>5</v>
      </c>
      <c r="L14" s="19">
        <v>0</v>
      </c>
      <c r="M14" s="20">
        <f t="shared" si="0"/>
        <v>5</v>
      </c>
      <c r="N14" s="35"/>
      <c r="O14" s="41"/>
      <c r="P14" s="16"/>
    </row>
    <row r="15" spans="1:16" ht="18.75" customHeight="1" x14ac:dyDescent="0.3">
      <c r="A15" s="13"/>
      <c r="B15" s="14"/>
      <c r="C15" s="15"/>
      <c r="D15" s="26"/>
      <c r="E15" s="47" t="s">
        <v>37</v>
      </c>
      <c r="F15" s="26">
        <f>2%*D14</f>
        <v>14.571199999999999</v>
      </c>
      <c r="G15" s="26">
        <f>3%*D14</f>
        <v>21.856799999999996</v>
      </c>
      <c r="H15" s="26">
        <f t="shared" ref="H15:H17" si="1">SUM(F15:G15)</f>
        <v>36.427999999999997</v>
      </c>
      <c r="I15" s="19">
        <v>0</v>
      </c>
      <c r="J15" s="19"/>
      <c r="K15" s="19">
        <v>5</v>
      </c>
      <c r="L15" s="19">
        <v>0</v>
      </c>
      <c r="M15" s="20">
        <f t="shared" si="0"/>
        <v>5</v>
      </c>
      <c r="N15" s="35"/>
      <c r="O15" s="36"/>
      <c r="P15" s="16"/>
    </row>
    <row r="16" spans="1:16" ht="18.75" customHeight="1" x14ac:dyDescent="0.3">
      <c r="A16" s="13"/>
      <c r="B16" s="14"/>
      <c r="C16" s="15"/>
      <c r="D16" s="26"/>
      <c r="E16" s="47" t="s">
        <v>38</v>
      </c>
      <c r="F16" s="26">
        <f>3%*D14</f>
        <v>21.856799999999996</v>
      </c>
      <c r="G16" s="26">
        <f>4%*D14</f>
        <v>29.142399999999999</v>
      </c>
      <c r="H16" s="26">
        <f t="shared" si="1"/>
        <v>50.999199999999995</v>
      </c>
      <c r="I16" s="19">
        <v>0</v>
      </c>
      <c r="J16" s="19"/>
      <c r="K16" s="19">
        <v>5</v>
      </c>
      <c r="L16" s="19">
        <v>0</v>
      </c>
      <c r="M16" s="20">
        <f t="shared" si="0"/>
        <v>5</v>
      </c>
      <c r="N16" s="35"/>
      <c r="O16" s="36"/>
      <c r="P16" s="16"/>
    </row>
    <row r="17" spans="1:16" ht="29.25" customHeight="1" x14ac:dyDescent="0.3">
      <c r="A17" s="54"/>
      <c r="B17" s="55"/>
      <c r="C17" s="56"/>
      <c r="D17" s="57"/>
      <c r="E17" s="58" t="s">
        <v>39</v>
      </c>
      <c r="F17" s="119">
        <f>3%*D14</f>
        <v>21.856799999999996</v>
      </c>
      <c r="G17" s="119">
        <f>10%*D14</f>
        <v>72.855999999999995</v>
      </c>
      <c r="H17" s="119">
        <f t="shared" si="1"/>
        <v>94.712799999999987</v>
      </c>
      <c r="I17" s="59">
        <v>0</v>
      </c>
      <c r="J17" s="59">
        <v>0</v>
      </c>
      <c r="K17" s="59">
        <v>0</v>
      </c>
      <c r="L17" s="59">
        <v>0</v>
      </c>
      <c r="M17" s="60">
        <f t="shared" si="0"/>
        <v>0</v>
      </c>
      <c r="N17" s="61"/>
      <c r="O17" s="62"/>
      <c r="P17" s="88"/>
    </row>
    <row r="18" spans="1:16" ht="18.75" customHeight="1" x14ac:dyDescent="0.3">
      <c r="A18" s="13"/>
      <c r="B18" s="17" t="s">
        <v>58</v>
      </c>
      <c r="C18" s="15" t="s">
        <v>27</v>
      </c>
      <c r="D18" s="18">
        <v>88.7</v>
      </c>
      <c r="E18" s="47" t="s">
        <v>36</v>
      </c>
      <c r="F18" s="26" t="s">
        <v>249</v>
      </c>
      <c r="G18" s="26">
        <f>5%*D18</f>
        <v>4.4350000000000005</v>
      </c>
      <c r="H18" s="26">
        <f>SUM(F18:G18)</f>
        <v>4.4350000000000005</v>
      </c>
      <c r="I18" s="19">
        <v>0</v>
      </c>
      <c r="J18" s="19"/>
      <c r="K18" s="19">
        <v>4</v>
      </c>
      <c r="L18" s="19">
        <v>0</v>
      </c>
      <c r="M18" s="20">
        <f t="shared" si="0"/>
        <v>4</v>
      </c>
      <c r="N18" s="35"/>
      <c r="O18" s="41"/>
      <c r="P18" s="144"/>
    </row>
    <row r="19" spans="1:16" ht="18.75" customHeight="1" x14ac:dyDescent="0.3">
      <c r="A19" s="13"/>
      <c r="B19" s="14"/>
      <c r="C19" s="15"/>
      <c r="D19" s="26"/>
      <c r="E19" s="47" t="s">
        <v>37</v>
      </c>
      <c r="F19" s="26">
        <f>4%*D18</f>
        <v>3.548</v>
      </c>
      <c r="G19" s="26">
        <f>4%*D18</f>
        <v>3.548</v>
      </c>
      <c r="H19" s="26">
        <f t="shared" ref="H19:H20" si="2">SUM(F19:G19)</f>
        <v>7.0960000000000001</v>
      </c>
      <c r="I19" s="19">
        <v>0</v>
      </c>
      <c r="J19" s="19"/>
      <c r="K19" s="19">
        <v>4</v>
      </c>
      <c r="L19" s="19">
        <v>0</v>
      </c>
      <c r="M19" s="20">
        <f t="shared" si="0"/>
        <v>4</v>
      </c>
      <c r="N19" s="35"/>
      <c r="O19" s="36"/>
      <c r="P19" s="144"/>
    </row>
    <row r="20" spans="1:16" ht="18.75" customHeight="1" x14ac:dyDescent="0.3">
      <c r="A20" s="13"/>
      <c r="B20" s="14"/>
      <c r="C20" s="15"/>
      <c r="D20" s="26"/>
      <c r="E20" s="47" t="s">
        <v>38</v>
      </c>
      <c r="F20" s="26">
        <f>4%*D18</f>
        <v>3.548</v>
      </c>
      <c r="G20" s="26">
        <f>40%*D18</f>
        <v>35.480000000000004</v>
      </c>
      <c r="H20" s="26">
        <f t="shared" si="2"/>
        <v>39.028000000000006</v>
      </c>
      <c r="I20" s="19">
        <v>0</v>
      </c>
      <c r="J20" s="19"/>
      <c r="K20" s="19">
        <v>4</v>
      </c>
      <c r="L20" s="19">
        <v>0</v>
      </c>
      <c r="M20" s="20">
        <f t="shared" si="0"/>
        <v>4</v>
      </c>
      <c r="N20" s="35"/>
      <c r="O20" s="36"/>
      <c r="P20" s="144"/>
    </row>
    <row r="21" spans="1:16" ht="18.75" customHeight="1" x14ac:dyDescent="0.3">
      <c r="A21" s="89"/>
      <c r="B21" s="71"/>
      <c r="C21" s="72"/>
      <c r="D21" s="73">
        <f>SUM(D9:D17)</f>
        <v>1137.6399999999999</v>
      </c>
      <c r="E21" s="74"/>
      <c r="F21" s="118">
        <f>SUM(F9:F17)</f>
        <v>295.16200000000003</v>
      </c>
      <c r="G21" s="118">
        <f>SUM(G9:G17)</f>
        <v>193.90559999999999</v>
      </c>
      <c r="H21" s="118">
        <f>SUM(H9:H17)</f>
        <v>489.06759999999997</v>
      </c>
      <c r="I21" s="75">
        <f>SUM(I9:I17)</f>
        <v>0</v>
      </c>
      <c r="J21" s="75">
        <f>SUM(J9:J17)</f>
        <v>0</v>
      </c>
      <c r="K21" s="75">
        <f>SUM(K8:K20)</f>
        <v>39</v>
      </c>
      <c r="L21" s="75"/>
      <c r="M21" s="75">
        <f>SUM(M9:M17)</f>
        <v>27</v>
      </c>
      <c r="N21" s="76"/>
      <c r="O21" s="77"/>
      <c r="P21" s="75"/>
    </row>
    <row r="22" spans="1:16" ht="18.75" customHeight="1" x14ac:dyDescent="0.3">
      <c r="A22" s="63">
        <v>2</v>
      </c>
      <c r="B22" s="64" t="s">
        <v>23</v>
      </c>
      <c r="C22" s="65"/>
      <c r="D22" s="66"/>
      <c r="E22" s="67"/>
      <c r="F22" s="68"/>
      <c r="G22" s="68"/>
      <c r="H22" s="68"/>
      <c r="I22" s="68"/>
      <c r="J22" s="68"/>
      <c r="K22" s="68"/>
      <c r="L22" s="68"/>
      <c r="M22" s="68"/>
      <c r="N22" s="69"/>
      <c r="O22" s="70"/>
      <c r="P22" s="68"/>
    </row>
    <row r="23" spans="1:16" ht="18.75" customHeight="1" x14ac:dyDescent="0.3">
      <c r="A23" s="13"/>
      <c r="B23" s="14" t="s">
        <v>57</v>
      </c>
      <c r="C23" s="15" t="s">
        <v>22</v>
      </c>
      <c r="D23" s="26">
        <v>198</v>
      </c>
      <c r="E23" s="47" t="s">
        <v>40</v>
      </c>
      <c r="F23" s="19">
        <v>0</v>
      </c>
      <c r="G23" s="19">
        <f>3%*D23</f>
        <v>5.9399999999999995</v>
      </c>
      <c r="H23" s="19">
        <f t="shared" ref="H23" si="3">SUM(F23:G23)</f>
        <v>5.9399999999999995</v>
      </c>
      <c r="I23" s="19">
        <v>0</v>
      </c>
      <c r="J23" s="19">
        <v>0</v>
      </c>
      <c r="K23" s="19">
        <v>5</v>
      </c>
      <c r="L23" s="19">
        <v>0</v>
      </c>
      <c r="M23" s="20">
        <f t="shared" ref="M23" si="4">SUM(I23:L23)</f>
        <v>5</v>
      </c>
      <c r="N23" s="37" t="s">
        <v>51</v>
      </c>
      <c r="O23" s="399" t="s">
        <v>228</v>
      </c>
      <c r="P23" s="16"/>
    </row>
    <row r="24" spans="1:16" ht="18.75" customHeight="1" x14ac:dyDescent="0.3">
      <c r="A24" s="54"/>
      <c r="B24" s="55"/>
      <c r="C24" s="56"/>
      <c r="D24" s="57"/>
      <c r="E24" s="85" t="s">
        <v>251</v>
      </c>
      <c r="F24" s="79"/>
      <c r="G24" s="79">
        <f>1.25%*D23</f>
        <v>2.4750000000000001</v>
      </c>
      <c r="H24" s="79"/>
      <c r="I24" s="79"/>
      <c r="J24" s="79"/>
      <c r="K24" s="79"/>
      <c r="L24" s="79"/>
      <c r="M24" s="86"/>
      <c r="N24" s="95"/>
      <c r="O24" s="401"/>
      <c r="P24" s="87"/>
    </row>
    <row r="25" spans="1:16" ht="18.75" customHeight="1" x14ac:dyDescent="0.3">
      <c r="A25" s="54"/>
      <c r="B25" s="55" t="s">
        <v>58</v>
      </c>
      <c r="C25" s="56" t="s">
        <v>42</v>
      </c>
      <c r="D25" s="57">
        <v>55</v>
      </c>
      <c r="E25" s="47" t="s">
        <v>40</v>
      </c>
      <c r="F25" s="19">
        <v>0</v>
      </c>
      <c r="G25" s="19">
        <f>10%*D25</f>
        <v>5.5</v>
      </c>
      <c r="H25" s="19">
        <f t="shared" ref="H25" si="5">SUM(F25:G25)</f>
        <v>5.5</v>
      </c>
      <c r="I25" s="19">
        <v>0</v>
      </c>
      <c r="J25" s="19"/>
      <c r="K25" s="19">
        <v>10</v>
      </c>
      <c r="L25" s="19">
        <v>0</v>
      </c>
      <c r="M25" s="20">
        <f t="shared" ref="M25" si="6">SUM(I25:L25)</f>
        <v>10</v>
      </c>
      <c r="N25" s="95"/>
      <c r="O25" s="401"/>
      <c r="P25" s="87"/>
    </row>
    <row r="26" spans="1:16" ht="18.75" customHeight="1" x14ac:dyDescent="0.3">
      <c r="A26" s="54"/>
      <c r="B26" s="55"/>
      <c r="C26" s="56"/>
      <c r="D26" s="57"/>
      <c r="E26" s="85" t="s">
        <v>250</v>
      </c>
      <c r="F26" s="79"/>
      <c r="G26" s="79">
        <f>1.25%*D25</f>
        <v>0.6875</v>
      </c>
      <c r="H26" s="79"/>
      <c r="I26" s="79"/>
      <c r="J26" s="79"/>
      <c r="K26" s="79"/>
      <c r="L26" s="79"/>
      <c r="M26" s="86"/>
      <c r="N26" s="95"/>
      <c r="O26" s="401"/>
      <c r="P26" s="87"/>
    </row>
    <row r="27" spans="1:16" ht="18.75" customHeight="1" x14ac:dyDescent="0.3">
      <c r="A27" s="54"/>
      <c r="B27" s="55" t="s">
        <v>59</v>
      </c>
      <c r="C27" s="56" t="s">
        <v>21</v>
      </c>
      <c r="D27" s="57">
        <v>66.94</v>
      </c>
      <c r="E27" s="47" t="s">
        <v>40</v>
      </c>
      <c r="F27" s="19">
        <v>0</v>
      </c>
      <c r="G27" s="19">
        <f>5%*D27</f>
        <v>3.347</v>
      </c>
      <c r="H27" s="19">
        <f t="shared" ref="H27" si="7">SUM(F27:G27)</f>
        <v>3.347</v>
      </c>
      <c r="I27" s="19">
        <v>0</v>
      </c>
      <c r="J27" s="19">
        <v>0</v>
      </c>
      <c r="K27" s="19">
        <v>5</v>
      </c>
      <c r="L27" s="19">
        <v>0</v>
      </c>
      <c r="M27" s="20">
        <f t="shared" ref="M27" si="8">SUM(I27:L27)</f>
        <v>5</v>
      </c>
      <c r="N27" s="95"/>
      <c r="O27" s="401"/>
      <c r="P27" s="87"/>
    </row>
    <row r="28" spans="1:16" ht="18.75" customHeight="1" x14ac:dyDescent="0.3">
      <c r="A28" s="89"/>
      <c r="B28" s="71"/>
      <c r="C28" s="72"/>
      <c r="D28" s="73">
        <f>SUM(D22:D27)</f>
        <v>319.94</v>
      </c>
      <c r="E28" s="74"/>
      <c r="F28" s="83">
        <f t="shared" ref="F28:K28" si="9">SUM(F22:F27)</f>
        <v>0</v>
      </c>
      <c r="G28" s="83">
        <f t="shared" si="9"/>
        <v>17.9495</v>
      </c>
      <c r="H28" s="83">
        <f t="shared" si="9"/>
        <v>14.786999999999999</v>
      </c>
      <c r="I28" s="83">
        <f t="shared" si="9"/>
        <v>0</v>
      </c>
      <c r="J28" s="83">
        <f t="shared" si="9"/>
        <v>0</v>
      </c>
      <c r="K28" s="83">
        <f t="shared" si="9"/>
        <v>20</v>
      </c>
      <c r="L28" s="83"/>
      <c r="M28" s="83">
        <f>SUM(M22:M27)</f>
        <v>20</v>
      </c>
      <c r="N28" s="76"/>
      <c r="O28" s="77"/>
      <c r="P28" s="75"/>
    </row>
    <row r="29" spans="1:16" ht="18.75" customHeight="1" x14ac:dyDescent="0.3">
      <c r="A29" s="63">
        <v>3</v>
      </c>
      <c r="B29" s="64" t="s">
        <v>19</v>
      </c>
      <c r="C29" s="65"/>
      <c r="D29" s="66"/>
      <c r="E29" s="67"/>
      <c r="F29" s="82"/>
      <c r="G29" s="82"/>
      <c r="H29" s="82"/>
      <c r="I29" s="82"/>
      <c r="J29" s="82"/>
      <c r="K29" s="82"/>
      <c r="L29" s="82"/>
      <c r="M29" s="82"/>
      <c r="N29" s="69"/>
      <c r="O29" s="70"/>
      <c r="P29" s="68"/>
    </row>
    <row r="30" spans="1:16" ht="18.75" customHeight="1" x14ac:dyDescent="0.3">
      <c r="A30" s="13"/>
      <c r="B30" s="14" t="s">
        <v>57</v>
      </c>
      <c r="C30" s="15" t="s">
        <v>24</v>
      </c>
      <c r="D30" s="26">
        <f>1372.4+494</f>
        <v>1866.4</v>
      </c>
      <c r="E30" s="50" t="s">
        <v>52</v>
      </c>
      <c r="F30" s="19">
        <v>0</v>
      </c>
      <c r="G30" s="26">
        <f>27%*D30</f>
        <v>503.92800000000005</v>
      </c>
      <c r="H30" s="26">
        <f>SUM(F30:G30)</f>
        <v>503.92800000000005</v>
      </c>
      <c r="I30" s="19">
        <v>0</v>
      </c>
      <c r="J30" s="19"/>
      <c r="K30" s="19">
        <v>2</v>
      </c>
      <c r="L30" s="19">
        <v>0</v>
      </c>
      <c r="M30" s="19">
        <f>SUM(I30:L30)</f>
        <v>2</v>
      </c>
      <c r="N30" s="35"/>
      <c r="O30" s="43" t="s">
        <v>242</v>
      </c>
      <c r="P30" s="16"/>
    </row>
    <row r="31" spans="1:16" ht="18.75" customHeight="1" x14ac:dyDescent="0.3">
      <c r="A31" s="13"/>
      <c r="B31" s="14"/>
      <c r="C31" s="15"/>
      <c r="D31" s="26"/>
      <c r="E31" s="47" t="s">
        <v>234</v>
      </c>
      <c r="F31" s="26"/>
      <c r="G31" s="26">
        <f>27%*D30</f>
        <v>503.92800000000005</v>
      </c>
      <c r="H31" s="26">
        <f>F31+G31</f>
        <v>503.92800000000005</v>
      </c>
      <c r="I31" s="19"/>
      <c r="J31" s="19"/>
      <c r="K31" s="19"/>
      <c r="L31" s="19"/>
      <c r="M31" s="19"/>
      <c r="N31" s="35"/>
      <c r="O31" s="43" t="s">
        <v>226</v>
      </c>
      <c r="P31" s="16"/>
    </row>
    <row r="32" spans="1:16" ht="18.75" customHeight="1" x14ac:dyDescent="0.3">
      <c r="A32" s="13"/>
      <c r="B32" s="14" t="s">
        <v>58</v>
      </c>
      <c r="C32" s="15" t="s">
        <v>25</v>
      </c>
      <c r="D32" s="26">
        <f>994.7+363.2</f>
        <v>1357.9</v>
      </c>
      <c r="E32" s="50" t="s">
        <v>52</v>
      </c>
      <c r="F32" s="19">
        <v>0</v>
      </c>
      <c r="G32" s="26">
        <f>16%*D32</f>
        <v>217.26400000000001</v>
      </c>
      <c r="H32" s="26">
        <f t="shared" ref="H32:H58" si="10">SUM(F32:G32)</f>
        <v>217.26400000000001</v>
      </c>
      <c r="I32" s="19">
        <v>0</v>
      </c>
      <c r="J32" s="19">
        <v>6</v>
      </c>
      <c r="K32" s="19">
        <v>6</v>
      </c>
      <c r="L32" s="19">
        <v>0</v>
      </c>
      <c r="M32" s="19">
        <f t="shared" ref="M32:M59" si="11">SUM(I32:L32)</f>
        <v>12</v>
      </c>
      <c r="N32" s="35"/>
      <c r="O32" s="43" t="s">
        <v>243</v>
      </c>
      <c r="P32" s="16"/>
    </row>
    <row r="33" spans="1:16" ht="18.75" customHeight="1" x14ac:dyDescent="0.3">
      <c r="A33" s="13"/>
      <c r="B33" s="14" t="s">
        <v>59</v>
      </c>
      <c r="C33" s="15" t="s">
        <v>26</v>
      </c>
      <c r="D33" s="26">
        <f>976.5+338</f>
        <v>1314.5</v>
      </c>
      <c r="E33" s="50" t="s">
        <v>52</v>
      </c>
      <c r="F33" s="19">
        <v>0</v>
      </c>
      <c r="G33" s="26">
        <f>27%*D33</f>
        <v>354.91500000000002</v>
      </c>
      <c r="H33" s="26">
        <f t="shared" si="10"/>
        <v>354.91500000000002</v>
      </c>
      <c r="I33" s="19">
        <v>20</v>
      </c>
      <c r="J33" s="19"/>
      <c r="K33" s="19">
        <v>0</v>
      </c>
      <c r="L33" s="19">
        <v>0</v>
      </c>
      <c r="M33" s="19">
        <f t="shared" si="11"/>
        <v>20</v>
      </c>
      <c r="N33" s="35"/>
      <c r="O33" s="43" t="s">
        <v>244</v>
      </c>
      <c r="P33" s="16"/>
    </row>
    <row r="34" spans="1:16" ht="18.75" customHeight="1" x14ac:dyDescent="0.3">
      <c r="A34" s="13"/>
      <c r="B34" s="14" t="s">
        <v>60</v>
      </c>
      <c r="C34" s="15" t="s">
        <v>55</v>
      </c>
      <c r="D34" s="26">
        <f>291.6+46.93</f>
        <v>338.53000000000003</v>
      </c>
      <c r="E34" s="50" t="s">
        <v>52</v>
      </c>
      <c r="F34" s="19">
        <v>0</v>
      </c>
      <c r="G34" s="26">
        <f>28%*D34</f>
        <v>94.788400000000024</v>
      </c>
      <c r="H34" s="26">
        <f t="shared" si="10"/>
        <v>94.788400000000024</v>
      </c>
      <c r="I34" s="19">
        <v>0</v>
      </c>
      <c r="J34" s="19">
        <v>0</v>
      </c>
      <c r="K34" s="19">
        <v>0</v>
      </c>
      <c r="L34" s="19">
        <v>0</v>
      </c>
      <c r="M34" s="19">
        <f t="shared" si="11"/>
        <v>0</v>
      </c>
      <c r="N34" s="35"/>
      <c r="O34" s="43" t="s">
        <v>224</v>
      </c>
      <c r="P34" s="16"/>
    </row>
    <row r="35" spans="1:16" ht="18.75" customHeight="1" x14ac:dyDescent="0.3">
      <c r="A35" s="13"/>
      <c r="B35" s="14"/>
      <c r="C35" s="15"/>
      <c r="D35" s="26"/>
      <c r="E35" s="47" t="s">
        <v>235</v>
      </c>
      <c r="F35" s="26">
        <f>4%*D34</f>
        <v>13.541200000000002</v>
      </c>
      <c r="G35" s="26">
        <f>19%*D34</f>
        <v>64.320700000000002</v>
      </c>
      <c r="H35" s="26">
        <f>SUM(F35:G35)</f>
        <v>77.861900000000006</v>
      </c>
      <c r="I35" s="19"/>
      <c r="J35" s="19"/>
      <c r="K35" s="19">
        <v>5</v>
      </c>
      <c r="L35" s="19"/>
      <c r="M35" s="19">
        <f>SUM(I35:L35)</f>
        <v>5</v>
      </c>
      <c r="N35" s="35"/>
      <c r="O35" s="43" t="s">
        <v>227</v>
      </c>
      <c r="P35" s="16"/>
    </row>
    <row r="36" spans="1:16" ht="18.75" customHeight="1" x14ac:dyDescent="0.3">
      <c r="A36" s="13"/>
      <c r="B36" s="14"/>
      <c r="C36" s="15"/>
      <c r="D36" s="26"/>
      <c r="E36" s="47" t="s">
        <v>234</v>
      </c>
      <c r="F36" s="26"/>
      <c r="G36" s="26">
        <f>20%*D34</f>
        <v>67.706000000000003</v>
      </c>
      <c r="H36" s="26">
        <f>F36+G36</f>
        <v>67.706000000000003</v>
      </c>
      <c r="I36" s="19"/>
      <c r="J36" s="19"/>
      <c r="K36" s="19"/>
      <c r="L36" s="19"/>
      <c r="M36" s="19"/>
      <c r="N36" s="35"/>
      <c r="O36" s="43" t="s">
        <v>153</v>
      </c>
      <c r="P36" s="16"/>
    </row>
    <row r="37" spans="1:16" ht="18.75" customHeight="1" x14ac:dyDescent="0.3">
      <c r="A37" s="13"/>
      <c r="B37" s="14" t="s">
        <v>61</v>
      </c>
      <c r="C37" s="15" t="s">
        <v>27</v>
      </c>
      <c r="D37" s="26">
        <f>831.5+161.25</f>
        <v>992.75</v>
      </c>
      <c r="E37" s="50" t="s">
        <v>52</v>
      </c>
      <c r="F37" s="19">
        <v>0</v>
      </c>
      <c r="G37" s="26">
        <f>21%*D37</f>
        <v>208.47749999999999</v>
      </c>
      <c r="H37" s="26">
        <f t="shared" si="10"/>
        <v>208.47749999999999</v>
      </c>
      <c r="I37" s="19">
        <v>0</v>
      </c>
      <c r="J37" s="19">
        <v>0</v>
      </c>
      <c r="K37" s="19">
        <v>0</v>
      </c>
      <c r="L37" s="19">
        <v>0</v>
      </c>
      <c r="M37" s="19">
        <f t="shared" si="11"/>
        <v>0</v>
      </c>
      <c r="N37" s="35"/>
      <c r="O37" s="43" t="s">
        <v>154</v>
      </c>
      <c r="P37" s="16"/>
    </row>
    <row r="38" spans="1:16" ht="18.75" customHeight="1" x14ac:dyDescent="0.3">
      <c r="A38" s="13"/>
      <c r="B38" s="14" t="s">
        <v>62</v>
      </c>
      <c r="C38" s="15" t="s">
        <v>28</v>
      </c>
      <c r="D38" s="26">
        <f>868+618.6</f>
        <v>1486.6</v>
      </c>
      <c r="E38" s="50" t="s">
        <v>52</v>
      </c>
      <c r="F38" s="19">
        <v>0</v>
      </c>
      <c r="G38" s="26">
        <f>20%*D38</f>
        <v>297.32</v>
      </c>
      <c r="H38" s="26">
        <f t="shared" si="10"/>
        <v>297.32</v>
      </c>
      <c r="I38" s="19">
        <v>0</v>
      </c>
      <c r="J38" s="19">
        <v>0</v>
      </c>
      <c r="K38" s="19">
        <v>0</v>
      </c>
      <c r="L38" s="19">
        <v>0</v>
      </c>
      <c r="M38" s="19">
        <f t="shared" si="11"/>
        <v>0</v>
      </c>
      <c r="N38" s="35"/>
      <c r="O38" s="43"/>
      <c r="P38" s="16"/>
    </row>
    <row r="39" spans="1:16" ht="18.75" customHeight="1" x14ac:dyDescent="0.3">
      <c r="A39" s="13"/>
      <c r="B39" s="14" t="s">
        <v>63</v>
      </c>
      <c r="C39" s="15" t="s">
        <v>29</v>
      </c>
      <c r="D39" s="26">
        <f>1546+278.5</f>
        <v>1824.5</v>
      </c>
      <c r="E39" s="50" t="s">
        <v>52</v>
      </c>
      <c r="F39" s="19">
        <v>0</v>
      </c>
      <c r="G39" s="26">
        <f>23%*D39</f>
        <v>419.63499999999999</v>
      </c>
      <c r="H39" s="26">
        <f t="shared" si="10"/>
        <v>419.63499999999999</v>
      </c>
      <c r="I39" s="19">
        <v>0</v>
      </c>
      <c r="J39" s="19">
        <v>0</v>
      </c>
      <c r="K39" s="19">
        <v>0</v>
      </c>
      <c r="L39" s="19">
        <v>0</v>
      </c>
      <c r="M39" s="19">
        <f t="shared" si="11"/>
        <v>0</v>
      </c>
      <c r="N39" s="35"/>
      <c r="O39" s="43"/>
      <c r="P39" s="16"/>
    </row>
    <row r="40" spans="1:16" ht="18.75" customHeight="1" x14ac:dyDescent="0.3">
      <c r="A40" s="13"/>
      <c r="B40" s="14" t="s">
        <v>64</v>
      </c>
      <c r="C40" s="15" t="s">
        <v>56</v>
      </c>
      <c r="D40" s="26">
        <f>156.4+34.9</f>
        <v>191.3</v>
      </c>
      <c r="E40" s="50" t="s">
        <v>52</v>
      </c>
      <c r="F40" s="19">
        <v>0</v>
      </c>
      <c r="G40" s="26">
        <f>16%*D40</f>
        <v>30.608000000000004</v>
      </c>
      <c r="H40" s="26">
        <f t="shared" si="10"/>
        <v>30.608000000000004</v>
      </c>
      <c r="I40" s="19">
        <v>0</v>
      </c>
      <c r="J40" s="19"/>
      <c r="K40" s="19">
        <v>5</v>
      </c>
      <c r="L40" s="19">
        <v>0</v>
      </c>
      <c r="M40" s="19">
        <f t="shared" si="11"/>
        <v>5</v>
      </c>
      <c r="N40" s="35"/>
      <c r="O40" s="43"/>
      <c r="P40" s="16"/>
    </row>
    <row r="41" spans="1:16" ht="18.75" customHeight="1" x14ac:dyDescent="0.3">
      <c r="A41" s="13"/>
      <c r="B41" s="14" t="s">
        <v>65</v>
      </c>
      <c r="C41" s="15" t="s">
        <v>30</v>
      </c>
      <c r="D41" s="26">
        <f>1499.7+565.1</f>
        <v>2064.8000000000002</v>
      </c>
      <c r="E41" s="50" t="s">
        <v>52</v>
      </c>
      <c r="F41" s="19">
        <v>0</v>
      </c>
      <c r="G41" s="26">
        <f>13%*D41</f>
        <v>268.42400000000004</v>
      </c>
      <c r="H41" s="26">
        <f t="shared" si="10"/>
        <v>268.42400000000004</v>
      </c>
      <c r="I41" s="19">
        <v>0</v>
      </c>
      <c r="J41" s="19">
        <v>0</v>
      </c>
      <c r="K41" s="19">
        <v>0</v>
      </c>
      <c r="L41" s="19">
        <v>0</v>
      </c>
      <c r="M41" s="19">
        <f t="shared" si="11"/>
        <v>0</v>
      </c>
      <c r="N41" s="35"/>
      <c r="O41" s="43"/>
      <c r="P41" s="16"/>
    </row>
    <row r="42" spans="1:16" ht="18.75" customHeight="1" x14ac:dyDescent="0.3">
      <c r="A42" s="13"/>
      <c r="B42" s="14" t="s">
        <v>66</v>
      </c>
      <c r="C42" s="15" t="s">
        <v>31</v>
      </c>
      <c r="D42" s="26">
        <f>1207+389</f>
        <v>1596</v>
      </c>
      <c r="E42" s="50" t="s">
        <v>52</v>
      </c>
      <c r="F42" s="19">
        <v>0</v>
      </c>
      <c r="G42" s="26">
        <f>13%*D42</f>
        <v>207.48000000000002</v>
      </c>
      <c r="H42" s="26">
        <f t="shared" si="10"/>
        <v>207.48000000000002</v>
      </c>
      <c r="I42" s="19">
        <v>0</v>
      </c>
      <c r="J42" s="19">
        <v>0</v>
      </c>
      <c r="K42" s="19">
        <v>0</v>
      </c>
      <c r="L42" s="19">
        <v>0</v>
      </c>
      <c r="M42" s="19">
        <f t="shared" si="11"/>
        <v>0</v>
      </c>
      <c r="N42" s="35"/>
      <c r="O42" s="43"/>
      <c r="P42" s="16"/>
    </row>
    <row r="43" spans="1:16" ht="18.75" customHeight="1" x14ac:dyDescent="0.3">
      <c r="A43" s="13"/>
      <c r="B43" s="14" t="s">
        <v>67</v>
      </c>
      <c r="C43" s="15" t="s">
        <v>32</v>
      </c>
      <c r="D43" s="26">
        <f>998.9+79.5</f>
        <v>1078.4000000000001</v>
      </c>
      <c r="E43" s="50" t="s">
        <v>52</v>
      </c>
      <c r="F43" s="19">
        <v>0</v>
      </c>
      <c r="G43" s="26">
        <f>18%*D43</f>
        <v>194.11200000000002</v>
      </c>
      <c r="H43" s="26">
        <f t="shared" si="10"/>
        <v>194.11200000000002</v>
      </c>
      <c r="I43" s="19">
        <v>0</v>
      </c>
      <c r="J43" s="19">
        <v>0</v>
      </c>
      <c r="K43" s="19">
        <v>0</v>
      </c>
      <c r="L43" s="19">
        <v>0</v>
      </c>
      <c r="M43" s="19">
        <f t="shared" si="11"/>
        <v>0</v>
      </c>
      <c r="N43" s="35"/>
      <c r="O43" s="43"/>
      <c r="P43" s="16"/>
    </row>
    <row r="44" spans="1:16" ht="18.75" customHeight="1" x14ac:dyDescent="0.3">
      <c r="A44" s="13"/>
      <c r="B44" s="14" t="s">
        <v>68</v>
      </c>
      <c r="C44" s="15" t="s">
        <v>33</v>
      </c>
      <c r="D44" s="26">
        <f>1304+57.5</f>
        <v>1361.5</v>
      </c>
      <c r="E44" s="50" t="s">
        <v>52</v>
      </c>
      <c r="F44" s="19">
        <v>0</v>
      </c>
      <c r="G44" s="26">
        <f>19%*D44</f>
        <v>258.685</v>
      </c>
      <c r="H44" s="26">
        <f t="shared" si="10"/>
        <v>258.685</v>
      </c>
      <c r="I44" s="19">
        <v>0</v>
      </c>
      <c r="J44" s="19"/>
      <c r="K44" s="19">
        <v>0</v>
      </c>
      <c r="L44" s="19">
        <v>0</v>
      </c>
      <c r="M44" s="19">
        <f t="shared" si="11"/>
        <v>0</v>
      </c>
      <c r="N44" s="35"/>
      <c r="O44" s="43"/>
      <c r="P44" s="16"/>
    </row>
    <row r="45" spans="1:16" ht="18.75" customHeight="1" x14ac:dyDescent="0.3">
      <c r="A45" s="13"/>
      <c r="B45" s="14" t="s">
        <v>69</v>
      </c>
      <c r="C45" s="15" t="s">
        <v>34</v>
      </c>
      <c r="D45" s="26">
        <f>1784.1+362</f>
        <v>2146.1</v>
      </c>
      <c r="E45" s="50" t="s">
        <v>52</v>
      </c>
      <c r="F45" s="19">
        <v>0</v>
      </c>
      <c r="G45" s="26">
        <f>28%*D45</f>
        <v>600.90800000000002</v>
      </c>
      <c r="H45" s="26">
        <f t="shared" si="10"/>
        <v>600.90800000000002</v>
      </c>
      <c r="I45" s="19">
        <v>0</v>
      </c>
      <c r="J45" s="19"/>
      <c r="K45" s="19">
        <v>1</v>
      </c>
      <c r="L45" s="19">
        <v>0</v>
      </c>
      <c r="M45" s="19">
        <f t="shared" si="11"/>
        <v>1</v>
      </c>
      <c r="N45" s="35"/>
      <c r="O45" s="43"/>
      <c r="P45" s="16"/>
    </row>
    <row r="46" spans="1:16" ht="18.75" customHeight="1" x14ac:dyDescent="0.3">
      <c r="A46" s="13"/>
      <c r="B46" s="14" t="s">
        <v>70</v>
      </c>
      <c r="C46" s="15" t="s">
        <v>35</v>
      </c>
      <c r="D46" s="26">
        <f>1557+181.5</f>
        <v>1738.5</v>
      </c>
      <c r="E46" s="50" t="s">
        <v>52</v>
      </c>
      <c r="F46" s="19">
        <v>0</v>
      </c>
      <c r="G46" s="26">
        <f>23%*D46</f>
        <v>399.85500000000002</v>
      </c>
      <c r="H46" s="26">
        <f t="shared" si="10"/>
        <v>399.85500000000002</v>
      </c>
      <c r="I46" s="19">
        <v>0</v>
      </c>
      <c r="J46" s="19">
        <v>0</v>
      </c>
      <c r="K46" s="19">
        <v>0</v>
      </c>
      <c r="L46" s="19">
        <v>0</v>
      </c>
      <c r="M46" s="19">
        <f t="shared" si="11"/>
        <v>0</v>
      </c>
      <c r="N46" s="35"/>
      <c r="O46" s="43"/>
      <c r="P46" s="16"/>
    </row>
    <row r="47" spans="1:16" ht="18.75" customHeight="1" x14ac:dyDescent="0.3">
      <c r="A47" s="13"/>
      <c r="B47" s="14" t="s">
        <v>71</v>
      </c>
      <c r="C47" s="15" t="s">
        <v>21</v>
      </c>
      <c r="D47" s="26">
        <f>1940+114</f>
        <v>2054</v>
      </c>
      <c r="E47" s="50" t="s">
        <v>52</v>
      </c>
      <c r="F47" s="19">
        <v>0</v>
      </c>
      <c r="G47" s="26">
        <f>28%*D47</f>
        <v>575.12</v>
      </c>
      <c r="H47" s="26">
        <f t="shared" si="10"/>
        <v>575.12</v>
      </c>
      <c r="I47" s="19">
        <v>0</v>
      </c>
      <c r="J47" s="19">
        <v>0</v>
      </c>
      <c r="K47" s="19">
        <v>0</v>
      </c>
      <c r="L47" s="19">
        <v>0</v>
      </c>
      <c r="M47" s="19">
        <f t="shared" si="11"/>
        <v>0</v>
      </c>
      <c r="N47" s="35"/>
      <c r="O47" s="43"/>
      <c r="P47" s="16"/>
    </row>
    <row r="48" spans="1:16" ht="18.75" customHeight="1" x14ac:dyDescent="0.3">
      <c r="A48" s="13"/>
      <c r="B48" s="14" t="s">
        <v>72</v>
      </c>
      <c r="C48" s="15" t="s">
        <v>42</v>
      </c>
      <c r="D48" s="26">
        <f>773.1+303.8</f>
        <v>1076.9000000000001</v>
      </c>
      <c r="E48" s="50" t="s">
        <v>52</v>
      </c>
      <c r="F48" s="19">
        <v>0</v>
      </c>
      <c r="G48" s="26">
        <f>28%*D48</f>
        <v>301.53200000000004</v>
      </c>
      <c r="H48" s="26">
        <f t="shared" si="10"/>
        <v>301.53200000000004</v>
      </c>
      <c r="I48" s="19">
        <v>0</v>
      </c>
      <c r="J48" s="19">
        <v>0</v>
      </c>
      <c r="K48" s="19">
        <v>0</v>
      </c>
      <c r="L48" s="19">
        <v>0</v>
      </c>
      <c r="M48" s="19">
        <f t="shared" si="11"/>
        <v>0</v>
      </c>
      <c r="N48" s="35"/>
      <c r="O48" s="36"/>
      <c r="P48" s="16"/>
    </row>
    <row r="49" spans="1:16" ht="18.75" customHeight="1" x14ac:dyDescent="0.3">
      <c r="A49" s="13"/>
      <c r="B49" s="14" t="s">
        <v>73</v>
      </c>
      <c r="C49" s="15" t="s">
        <v>105</v>
      </c>
      <c r="D49" s="26">
        <f>153.8+8.7</f>
        <v>162.5</v>
      </c>
      <c r="E49" s="50" t="s">
        <v>52</v>
      </c>
      <c r="F49" s="19">
        <v>0</v>
      </c>
      <c r="G49" s="26">
        <f>29%*D49</f>
        <v>47.125</v>
      </c>
      <c r="H49" s="26">
        <f t="shared" si="10"/>
        <v>47.125</v>
      </c>
      <c r="I49" s="19">
        <v>0</v>
      </c>
      <c r="J49" s="19">
        <v>0</v>
      </c>
      <c r="K49" s="19">
        <v>0</v>
      </c>
      <c r="L49" s="19">
        <v>0</v>
      </c>
      <c r="M49" s="19">
        <f t="shared" si="11"/>
        <v>0</v>
      </c>
      <c r="N49" s="35"/>
      <c r="O49" s="36"/>
      <c r="P49" s="16"/>
    </row>
    <row r="50" spans="1:16" ht="18.75" customHeight="1" x14ac:dyDescent="0.3">
      <c r="A50" s="13"/>
      <c r="B50" s="14" t="s">
        <v>74</v>
      </c>
      <c r="C50" s="15" t="s">
        <v>110</v>
      </c>
      <c r="D50" s="26">
        <f>695+48.2</f>
        <v>743.2</v>
      </c>
      <c r="E50" s="50" t="s">
        <v>52</v>
      </c>
      <c r="F50" s="19">
        <v>0</v>
      </c>
      <c r="G50" s="26">
        <f>19%*D50</f>
        <v>141.208</v>
      </c>
      <c r="H50" s="26">
        <f t="shared" si="10"/>
        <v>141.208</v>
      </c>
      <c r="I50" s="19">
        <v>0</v>
      </c>
      <c r="J50" s="19">
        <v>0</v>
      </c>
      <c r="K50" s="19">
        <v>0</v>
      </c>
      <c r="L50" s="19">
        <v>0</v>
      </c>
      <c r="M50" s="19">
        <f t="shared" si="11"/>
        <v>0</v>
      </c>
      <c r="N50" s="35"/>
      <c r="O50" s="36"/>
      <c r="P50" s="16"/>
    </row>
    <row r="51" spans="1:16" ht="18.75" customHeight="1" x14ac:dyDescent="0.3">
      <c r="A51" s="13"/>
      <c r="B51" s="14" t="s">
        <v>75</v>
      </c>
      <c r="C51" s="15" t="s">
        <v>112</v>
      </c>
      <c r="D51" s="26">
        <f>375+14</f>
        <v>389</v>
      </c>
      <c r="E51" s="50" t="s">
        <v>52</v>
      </c>
      <c r="F51" s="19">
        <v>0</v>
      </c>
      <c r="G51" s="26">
        <f>19%*D51</f>
        <v>73.91</v>
      </c>
      <c r="H51" s="26">
        <f t="shared" si="10"/>
        <v>73.91</v>
      </c>
      <c r="I51" s="19">
        <v>0</v>
      </c>
      <c r="J51" s="19">
        <v>0</v>
      </c>
      <c r="K51" s="19">
        <v>0</v>
      </c>
      <c r="L51" s="19">
        <v>0</v>
      </c>
      <c r="M51" s="19">
        <f t="shared" si="11"/>
        <v>0</v>
      </c>
      <c r="N51" s="35"/>
      <c r="O51" s="36"/>
      <c r="P51" s="16"/>
    </row>
    <row r="52" spans="1:16" ht="18.75" customHeight="1" x14ac:dyDescent="0.3">
      <c r="A52" s="13"/>
      <c r="B52" s="14" t="s">
        <v>104</v>
      </c>
      <c r="C52" s="15" t="s">
        <v>114</v>
      </c>
      <c r="D52" s="26">
        <f>73.5</f>
        <v>73.5</v>
      </c>
      <c r="E52" s="50" t="s">
        <v>52</v>
      </c>
      <c r="F52" s="19">
        <v>0</v>
      </c>
      <c r="G52" s="26">
        <f>19%*D52</f>
        <v>13.965</v>
      </c>
      <c r="H52" s="26">
        <f t="shared" si="10"/>
        <v>13.965</v>
      </c>
      <c r="I52" s="19">
        <v>0</v>
      </c>
      <c r="J52" s="19">
        <v>0</v>
      </c>
      <c r="K52" s="19">
        <v>0</v>
      </c>
      <c r="L52" s="19">
        <v>0</v>
      </c>
      <c r="M52" s="19">
        <f t="shared" si="11"/>
        <v>0</v>
      </c>
      <c r="N52" s="35"/>
      <c r="O52" s="36"/>
      <c r="P52" s="16"/>
    </row>
    <row r="53" spans="1:16" ht="18.75" customHeight="1" x14ac:dyDescent="0.3">
      <c r="A53" s="13"/>
      <c r="B53" s="14" t="s">
        <v>106</v>
      </c>
      <c r="C53" s="15" t="s">
        <v>22</v>
      </c>
      <c r="D53" s="26">
        <f>1130+101</f>
        <v>1231</v>
      </c>
      <c r="E53" s="50" t="s">
        <v>52</v>
      </c>
      <c r="F53" s="19">
        <v>0</v>
      </c>
      <c r="G53" s="26">
        <f>19%*D53</f>
        <v>233.89000000000001</v>
      </c>
      <c r="H53" s="26">
        <f t="shared" si="10"/>
        <v>233.89000000000001</v>
      </c>
      <c r="I53" s="19">
        <v>0</v>
      </c>
      <c r="J53" s="19">
        <v>0</v>
      </c>
      <c r="K53" s="19">
        <v>0</v>
      </c>
      <c r="L53" s="19">
        <v>0</v>
      </c>
      <c r="M53" s="19">
        <f t="shared" si="11"/>
        <v>0</v>
      </c>
      <c r="N53" s="35"/>
      <c r="O53" s="36"/>
      <c r="P53" s="16"/>
    </row>
    <row r="54" spans="1:16" ht="18.75" customHeight="1" x14ac:dyDescent="0.3">
      <c r="A54" s="13"/>
      <c r="B54" s="14" t="s">
        <v>108</v>
      </c>
      <c r="C54" s="15" t="s">
        <v>180</v>
      </c>
      <c r="D54" s="26">
        <f>134.8+5</f>
        <v>139.80000000000001</v>
      </c>
      <c r="E54" s="47" t="s">
        <v>52</v>
      </c>
      <c r="F54" s="19">
        <v>0</v>
      </c>
      <c r="G54" s="26">
        <f>20%*D54</f>
        <v>27.960000000000004</v>
      </c>
      <c r="H54" s="26">
        <f t="shared" si="10"/>
        <v>27.960000000000004</v>
      </c>
      <c r="I54" s="19">
        <v>0</v>
      </c>
      <c r="J54" s="19">
        <v>0</v>
      </c>
      <c r="K54" s="19">
        <v>0</v>
      </c>
      <c r="L54" s="19">
        <v>0</v>
      </c>
      <c r="M54" s="19">
        <f t="shared" si="11"/>
        <v>0</v>
      </c>
      <c r="N54" s="35"/>
      <c r="O54" s="36"/>
      <c r="P54" s="16"/>
    </row>
    <row r="55" spans="1:16" ht="18.75" customHeight="1" x14ac:dyDescent="0.3">
      <c r="A55" s="13"/>
      <c r="B55" s="14" t="s">
        <v>109</v>
      </c>
      <c r="C55" s="15" t="s">
        <v>43</v>
      </c>
      <c r="D55" s="26">
        <f>1189+216.6</f>
        <v>1405.6</v>
      </c>
      <c r="E55" s="50" t="s">
        <v>52</v>
      </c>
      <c r="F55" s="19">
        <v>0</v>
      </c>
      <c r="G55" s="26">
        <f>20%*D55</f>
        <v>281.12</v>
      </c>
      <c r="H55" s="26">
        <f t="shared" si="10"/>
        <v>281.12</v>
      </c>
      <c r="I55" s="19">
        <v>0</v>
      </c>
      <c r="J55" s="19">
        <v>0</v>
      </c>
      <c r="K55" s="19">
        <v>0</v>
      </c>
      <c r="L55" s="19">
        <v>0</v>
      </c>
      <c r="M55" s="19">
        <f t="shared" si="11"/>
        <v>0</v>
      </c>
      <c r="N55" s="35"/>
      <c r="O55" s="36"/>
      <c r="P55" s="16"/>
    </row>
    <row r="56" spans="1:16" ht="14.25" customHeight="1" x14ac:dyDescent="0.3">
      <c r="A56" s="13"/>
      <c r="B56" s="55" t="s">
        <v>111</v>
      </c>
      <c r="C56" s="56" t="s">
        <v>44</v>
      </c>
      <c r="D56" s="57">
        <f>1396.6+127</f>
        <v>1523.6</v>
      </c>
      <c r="E56" s="78" t="s">
        <v>52</v>
      </c>
      <c r="F56" s="19">
        <v>0</v>
      </c>
      <c r="G56" s="26">
        <f>18%*D56</f>
        <v>274.24799999999999</v>
      </c>
      <c r="H56" s="26">
        <f t="shared" si="10"/>
        <v>274.24799999999999</v>
      </c>
      <c r="I56" s="19">
        <v>0</v>
      </c>
      <c r="J56" s="19">
        <v>0</v>
      </c>
      <c r="K56" s="19">
        <v>0</v>
      </c>
      <c r="L56" s="19">
        <v>0</v>
      </c>
      <c r="M56" s="19">
        <f t="shared" si="11"/>
        <v>0</v>
      </c>
      <c r="N56" s="35"/>
      <c r="O56" s="36"/>
      <c r="P56" s="16"/>
    </row>
    <row r="57" spans="1:16" ht="18.75" customHeight="1" x14ac:dyDescent="0.3">
      <c r="A57" s="13"/>
      <c r="B57" s="14" t="s">
        <v>74</v>
      </c>
      <c r="C57" s="15" t="s">
        <v>43</v>
      </c>
      <c r="D57" s="26">
        <v>1189</v>
      </c>
      <c r="E57" s="50" t="s">
        <v>52</v>
      </c>
      <c r="F57" s="19">
        <v>0</v>
      </c>
      <c r="G57" s="26">
        <f>19%*D57</f>
        <v>225.91</v>
      </c>
      <c r="H57" s="26">
        <f t="shared" si="10"/>
        <v>225.91</v>
      </c>
      <c r="I57" s="19">
        <v>0</v>
      </c>
      <c r="J57" s="19"/>
      <c r="K57" s="19">
        <v>6</v>
      </c>
      <c r="L57" s="19">
        <v>0</v>
      </c>
      <c r="M57" s="19">
        <f t="shared" si="11"/>
        <v>6</v>
      </c>
      <c r="N57" s="35"/>
      <c r="O57" s="36"/>
      <c r="P57" s="16"/>
    </row>
    <row r="58" spans="1:16" ht="18.75" customHeight="1" x14ac:dyDescent="0.3">
      <c r="A58" s="54"/>
      <c r="B58" s="55" t="s">
        <v>75</v>
      </c>
      <c r="C58" s="56" t="s">
        <v>44</v>
      </c>
      <c r="D58" s="57">
        <v>1391</v>
      </c>
      <c r="E58" s="78" t="s">
        <v>52</v>
      </c>
      <c r="F58" s="19">
        <v>0</v>
      </c>
      <c r="G58" s="26">
        <f>19%*D58</f>
        <v>264.29000000000002</v>
      </c>
      <c r="H58" s="26">
        <f t="shared" si="10"/>
        <v>264.29000000000002</v>
      </c>
      <c r="I58" s="19">
        <v>0</v>
      </c>
      <c r="J58" s="19"/>
      <c r="K58" s="19">
        <v>2</v>
      </c>
      <c r="L58" s="19">
        <v>0</v>
      </c>
      <c r="M58" s="19">
        <f t="shared" si="11"/>
        <v>2</v>
      </c>
      <c r="N58" s="80"/>
      <c r="O58" s="81"/>
      <c r="P58" s="87"/>
    </row>
    <row r="59" spans="1:16" ht="18.75" customHeight="1" x14ac:dyDescent="0.3">
      <c r="A59" s="141"/>
      <c r="B59" s="117"/>
      <c r="C59" s="116"/>
      <c r="D59" s="109"/>
      <c r="E59" s="110" t="s">
        <v>223</v>
      </c>
      <c r="F59" s="90">
        <f>9%*D58</f>
        <v>125.19</v>
      </c>
      <c r="G59" s="90"/>
      <c r="H59" s="90">
        <f>SUM(F59:G59)</f>
        <v>125.19</v>
      </c>
      <c r="I59" s="19">
        <v>0</v>
      </c>
      <c r="J59" s="19">
        <v>0</v>
      </c>
      <c r="K59" s="19">
        <v>0</v>
      </c>
      <c r="L59" s="19">
        <v>0</v>
      </c>
      <c r="M59" s="19">
        <f t="shared" si="11"/>
        <v>0</v>
      </c>
      <c r="N59" s="93"/>
      <c r="O59" s="113"/>
      <c r="P59" s="5"/>
    </row>
    <row r="60" spans="1:16" ht="18.75" customHeight="1" x14ac:dyDescent="0.3">
      <c r="A60" s="89"/>
      <c r="B60" s="71"/>
      <c r="C60" s="72"/>
      <c r="D60" s="84">
        <f>SUM(D30:D58)</f>
        <v>30736.879999999997</v>
      </c>
      <c r="E60" s="74"/>
      <c r="F60" s="83">
        <f>SUM(F37:F59)</f>
        <v>125.19</v>
      </c>
      <c r="G60" s="83">
        <f>SUM(G30:G59)</f>
        <v>7152.6325999999999</v>
      </c>
      <c r="H60" s="83">
        <f>SUM(H30:H59)</f>
        <v>7291.3637999999992</v>
      </c>
      <c r="I60" s="83">
        <f>SUM(I30:I59)</f>
        <v>20</v>
      </c>
      <c r="J60" s="83">
        <f>SUM(J30:J58)</f>
        <v>6</v>
      </c>
      <c r="K60" s="83">
        <f>SUM(K30:K58)</f>
        <v>27</v>
      </c>
      <c r="L60" s="83">
        <f>SUM(L30:L58)</f>
        <v>0</v>
      </c>
      <c r="M60" s="83">
        <f>SUM(M30:M58)</f>
        <v>53</v>
      </c>
      <c r="N60" s="76"/>
      <c r="O60" s="77"/>
      <c r="P60" s="75"/>
    </row>
    <row r="61" spans="1:16" ht="18.75" customHeight="1" x14ac:dyDescent="0.3">
      <c r="A61" s="63">
        <v>4</v>
      </c>
      <c r="B61" s="64" t="s">
        <v>46</v>
      </c>
      <c r="C61" s="65"/>
      <c r="D61" s="66"/>
      <c r="E61" s="67"/>
      <c r="F61" s="82"/>
      <c r="G61" s="82"/>
      <c r="H61" s="82"/>
      <c r="I61" s="82"/>
      <c r="J61" s="82"/>
      <c r="K61" s="82"/>
      <c r="L61" s="82"/>
      <c r="M61" s="82"/>
      <c r="N61" s="69"/>
      <c r="O61" s="70"/>
      <c r="P61" s="68"/>
    </row>
    <row r="62" spans="1:16" ht="18.75" customHeight="1" x14ac:dyDescent="0.3">
      <c r="A62" s="102"/>
      <c r="B62" s="98" t="s">
        <v>57</v>
      </c>
      <c r="C62" s="99" t="s">
        <v>29</v>
      </c>
      <c r="D62" s="96">
        <v>175</v>
      </c>
      <c r="E62" s="101" t="s">
        <v>233</v>
      </c>
      <c r="F62" s="96"/>
      <c r="G62" s="96">
        <f>18%*D62</f>
        <v>31.5</v>
      </c>
      <c r="H62" s="96">
        <f>SUM(F62:G62)</f>
        <v>31.5</v>
      </c>
      <c r="I62" s="97">
        <v>0</v>
      </c>
      <c r="J62" s="97"/>
      <c r="K62" s="97">
        <v>0</v>
      </c>
      <c r="L62" s="97">
        <v>0</v>
      </c>
      <c r="M62" s="97">
        <f t="shared" ref="M62:M69" si="12">SUM(I62:L62)</f>
        <v>0</v>
      </c>
      <c r="N62" s="35"/>
      <c r="O62" s="36" t="s">
        <v>229</v>
      </c>
      <c r="P62" s="16"/>
    </row>
    <row r="63" spans="1:16" ht="18.75" customHeight="1" x14ac:dyDescent="0.3">
      <c r="A63" s="13"/>
      <c r="B63" s="14" t="s">
        <v>58</v>
      </c>
      <c r="C63" s="15" t="s">
        <v>33</v>
      </c>
      <c r="D63" s="26">
        <v>270</v>
      </c>
      <c r="E63" s="47" t="s">
        <v>185</v>
      </c>
      <c r="F63" s="26">
        <f>0%*D63</f>
        <v>0</v>
      </c>
      <c r="G63" s="26">
        <f>18%*D63</f>
        <v>48.6</v>
      </c>
      <c r="H63" s="26">
        <f t="shared" ref="H63:H69" si="13">SUM(F63:G63)</f>
        <v>48.6</v>
      </c>
      <c r="I63" s="19">
        <v>0</v>
      </c>
      <c r="J63" s="19"/>
      <c r="K63" s="19">
        <v>0</v>
      </c>
      <c r="L63" s="19">
        <v>0</v>
      </c>
      <c r="M63" s="19">
        <f t="shared" si="12"/>
        <v>0</v>
      </c>
      <c r="N63" s="35"/>
      <c r="O63" s="36"/>
      <c r="P63" s="16"/>
    </row>
    <row r="64" spans="1:16" ht="18.75" customHeight="1" x14ac:dyDescent="0.3">
      <c r="A64" s="13"/>
      <c r="B64" s="98" t="s">
        <v>59</v>
      </c>
      <c r="C64" s="99" t="s">
        <v>42</v>
      </c>
      <c r="D64" s="96">
        <v>798.93</v>
      </c>
      <c r="E64" s="101" t="s">
        <v>233</v>
      </c>
      <c r="F64" s="96">
        <f>0%*D64</f>
        <v>0</v>
      </c>
      <c r="G64" s="97">
        <f>13%*D64</f>
        <v>103.8609</v>
      </c>
      <c r="H64" s="96">
        <f t="shared" si="13"/>
        <v>103.8609</v>
      </c>
      <c r="I64" s="97">
        <v>0</v>
      </c>
      <c r="J64" s="97"/>
      <c r="K64" s="97">
        <v>0</v>
      </c>
      <c r="L64" s="97">
        <v>0</v>
      </c>
      <c r="M64" s="97">
        <f t="shared" si="12"/>
        <v>0</v>
      </c>
      <c r="N64" s="35"/>
      <c r="O64" s="36"/>
      <c r="P64" s="16"/>
    </row>
    <row r="65" spans="1:16" ht="24" customHeight="1" x14ac:dyDescent="0.3">
      <c r="A65" s="13"/>
      <c r="B65" s="98" t="s">
        <v>60</v>
      </c>
      <c r="C65" s="99" t="s">
        <v>21</v>
      </c>
      <c r="D65" s="96">
        <v>1086.55</v>
      </c>
      <c r="E65" s="101" t="s">
        <v>186</v>
      </c>
      <c r="F65" s="96">
        <f>1%*D65</f>
        <v>10.865499999999999</v>
      </c>
      <c r="G65" s="97">
        <f>7%*D65</f>
        <v>76.058500000000009</v>
      </c>
      <c r="H65" s="96">
        <f t="shared" si="13"/>
        <v>86.924000000000007</v>
      </c>
      <c r="I65" s="97">
        <v>0</v>
      </c>
      <c r="J65" s="97"/>
      <c r="K65" s="97">
        <v>2</v>
      </c>
      <c r="L65" s="97">
        <v>0</v>
      </c>
      <c r="M65" s="97">
        <f t="shared" si="12"/>
        <v>2</v>
      </c>
      <c r="N65" s="35"/>
      <c r="O65" s="36"/>
      <c r="P65" s="16"/>
    </row>
    <row r="66" spans="1:16" ht="17.25" customHeight="1" x14ac:dyDescent="0.3">
      <c r="A66" s="13"/>
      <c r="B66" s="98"/>
      <c r="C66" s="99"/>
      <c r="D66" s="96"/>
      <c r="E66" s="101" t="s">
        <v>233</v>
      </c>
      <c r="F66" s="96"/>
      <c r="G66" s="96">
        <f>7%*D65</f>
        <v>76.058500000000009</v>
      </c>
      <c r="H66" s="96">
        <f>SUM(F66:G66)</f>
        <v>76.058500000000009</v>
      </c>
      <c r="I66" s="19">
        <v>0</v>
      </c>
      <c r="J66" s="19">
        <v>0</v>
      </c>
      <c r="K66" s="19">
        <v>0</v>
      </c>
      <c r="L66" s="19">
        <v>0</v>
      </c>
      <c r="M66" s="19">
        <f t="shared" si="12"/>
        <v>0</v>
      </c>
      <c r="N66" s="35"/>
      <c r="O66" s="36"/>
      <c r="P66" s="16"/>
    </row>
    <row r="67" spans="1:16" ht="18.75" customHeight="1" x14ac:dyDescent="0.3">
      <c r="A67" s="16"/>
      <c r="B67" s="14" t="s">
        <v>61</v>
      </c>
      <c r="C67" s="15" t="s">
        <v>22</v>
      </c>
      <c r="D67" s="26">
        <v>1084.55</v>
      </c>
      <c r="E67" s="101" t="s">
        <v>233</v>
      </c>
      <c r="F67" s="26">
        <f>0%*D67</f>
        <v>0</v>
      </c>
      <c r="G67" s="19">
        <f>7%*D67</f>
        <v>75.918500000000009</v>
      </c>
      <c r="H67" s="26">
        <f t="shared" si="13"/>
        <v>75.918500000000009</v>
      </c>
      <c r="I67" s="19">
        <v>0</v>
      </c>
      <c r="J67" s="19"/>
      <c r="K67" s="19">
        <v>2</v>
      </c>
      <c r="L67" s="19">
        <v>0</v>
      </c>
      <c r="M67" s="19">
        <f t="shared" si="12"/>
        <v>2</v>
      </c>
      <c r="N67" s="35"/>
      <c r="O67" s="36"/>
      <c r="P67" s="16"/>
    </row>
    <row r="68" spans="1:16" ht="18.75" customHeight="1" x14ac:dyDescent="0.3">
      <c r="A68" s="87"/>
      <c r="B68" s="55" t="s">
        <v>62</v>
      </c>
      <c r="C68" s="56" t="s">
        <v>43</v>
      </c>
      <c r="D68" s="57">
        <v>33</v>
      </c>
      <c r="E68" s="101" t="s">
        <v>233</v>
      </c>
      <c r="F68" s="26">
        <f>0%*D68</f>
        <v>0</v>
      </c>
      <c r="G68" s="19">
        <f>5%*D68</f>
        <v>1.6500000000000001</v>
      </c>
      <c r="H68" s="26">
        <f t="shared" si="13"/>
        <v>1.6500000000000001</v>
      </c>
      <c r="I68" s="19">
        <v>0</v>
      </c>
      <c r="J68" s="19"/>
      <c r="K68" s="19">
        <v>0</v>
      </c>
      <c r="L68" s="19">
        <v>0</v>
      </c>
      <c r="M68" s="19">
        <f t="shared" si="12"/>
        <v>0</v>
      </c>
      <c r="N68" s="80"/>
      <c r="O68" s="81"/>
      <c r="P68" s="87"/>
    </row>
    <row r="69" spans="1:16" ht="24.75" customHeight="1" x14ac:dyDescent="0.3">
      <c r="A69" s="16"/>
      <c r="B69" s="14" t="s">
        <v>63</v>
      </c>
      <c r="C69" s="15" t="s">
        <v>32</v>
      </c>
      <c r="D69" s="26">
        <v>178.5</v>
      </c>
      <c r="E69" s="101" t="s">
        <v>236</v>
      </c>
      <c r="F69" s="26">
        <f>0%*D69</f>
        <v>0</v>
      </c>
      <c r="G69" s="19">
        <f>5%*D69</f>
        <v>8.9250000000000007</v>
      </c>
      <c r="H69" s="26">
        <f t="shared" si="13"/>
        <v>8.9250000000000007</v>
      </c>
      <c r="I69" s="135">
        <v>0</v>
      </c>
      <c r="J69" s="135"/>
      <c r="K69" s="135">
        <v>0</v>
      </c>
      <c r="L69" s="135">
        <v>0</v>
      </c>
      <c r="M69" s="135">
        <f t="shared" si="12"/>
        <v>0</v>
      </c>
      <c r="N69" s="35"/>
      <c r="O69" s="36"/>
      <c r="P69" s="16"/>
    </row>
    <row r="70" spans="1:16" ht="18.75" customHeight="1" x14ac:dyDescent="0.3">
      <c r="A70" s="75"/>
      <c r="B70" s="71"/>
      <c r="C70" s="72"/>
      <c r="D70" s="73">
        <f>SUM(D62:D69)</f>
        <v>3626.5299999999997</v>
      </c>
      <c r="E70" s="74"/>
      <c r="F70" s="73">
        <f t="shared" ref="F70:K70" si="14">SUM(F62:F69)</f>
        <v>10.865499999999999</v>
      </c>
      <c r="G70" s="83">
        <f t="shared" si="14"/>
        <v>422.57139999999998</v>
      </c>
      <c r="H70" s="73">
        <f t="shared" si="14"/>
        <v>433.43689999999998</v>
      </c>
      <c r="I70" s="83">
        <f t="shared" si="14"/>
        <v>0</v>
      </c>
      <c r="J70" s="83">
        <f t="shared" si="14"/>
        <v>0</v>
      </c>
      <c r="K70" s="83">
        <f t="shared" si="14"/>
        <v>4</v>
      </c>
      <c r="L70" s="83"/>
      <c r="M70" s="83">
        <f>SUM(M62:M69)</f>
        <v>4</v>
      </c>
      <c r="N70" s="76"/>
      <c r="O70" s="77"/>
      <c r="P70" s="75"/>
    </row>
    <row r="71" spans="1:16" ht="16.5" customHeight="1" x14ac:dyDescent="0.3">
      <c r="A71" s="63">
        <v>5</v>
      </c>
      <c r="B71" s="64" t="s">
        <v>96</v>
      </c>
      <c r="C71" s="65"/>
      <c r="D71" s="66"/>
      <c r="E71" s="67"/>
      <c r="F71" s="66"/>
      <c r="G71" s="66"/>
      <c r="H71" s="66"/>
      <c r="I71" s="82"/>
      <c r="J71" s="82"/>
      <c r="K71" s="82"/>
      <c r="L71" s="82"/>
      <c r="M71" s="82"/>
      <c r="N71" s="69"/>
      <c r="O71" s="70"/>
      <c r="P71" s="68"/>
    </row>
    <row r="72" spans="1:16" ht="16.5" customHeight="1" x14ac:dyDescent="0.3">
      <c r="A72" s="16"/>
      <c r="B72" s="14" t="s">
        <v>57</v>
      </c>
      <c r="C72" s="15" t="s">
        <v>22</v>
      </c>
      <c r="D72" s="26">
        <v>9.5</v>
      </c>
      <c r="E72" s="47" t="s">
        <v>163</v>
      </c>
      <c r="F72" s="26">
        <f>9%*D72</f>
        <v>0.85499999999999998</v>
      </c>
      <c r="G72" s="26">
        <v>0</v>
      </c>
      <c r="H72" s="26">
        <f t="shared" ref="H72:H80" si="15">SUM(F72:G72)</f>
        <v>0.85499999999999998</v>
      </c>
      <c r="I72" s="19">
        <v>0</v>
      </c>
      <c r="J72" s="19"/>
      <c r="K72" s="19">
        <v>0</v>
      </c>
      <c r="L72" s="19">
        <v>0</v>
      </c>
      <c r="M72" s="19">
        <f>SUM(I72:L72)</f>
        <v>0</v>
      </c>
      <c r="N72" s="35"/>
      <c r="O72" s="36"/>
      <c r="P72" s="16"/>
    </row>
    <row r="73" spans="1:16" ht="17.25" customHeight="1" x14ac:dyDescent="0.3">
      <c r="A73" s="16"/>
      <c r="B73" s="14" t="s">
        <v>58</v>
      </c>
      <c r="C73" s="15" t="s">
        <v>21</v>
      </c>
      <c r="D73" s="26">
        <v>18.11</v>
      </c>
      <c r="E73" s="47" t="s">
        <v>164</v>
      </c>
      <c r="F73" s="26">
        <f>9%*D73</f>
        <v>1.6298999999999999</v>
      </c>
      <c r="G73" s="26">
        <f>2%*D73</f>
        <v>0.36220000000000002</v>
      </c>
      <c r="H73" s="26">
        <f t="shared" si="15"/>
        <v>1.9921</v>
      </c>
      <c r="I73" s="19">
        <v>0</v>
      </c>
      <c r="J73" s="19"/>
      <c r="K73" s="19">
        <v>3</v>
      </c>
      <c r="L73" s="19">
        <v>0</v>
      </c>
      <c r="M73" s="19">
        <f t="shared" ref="M73:M80" si="16">SUM(I73:L73)</f>
        <v>3</v>
      </c>
      <c r="N73" s="35"/>
      <c r="O73" s="36" t="s">
        <v>50</v>
      </c>
      <c r="P73" s="16"/>
    </row>
    <row r="74" spans="1:16" ht="16.5" customHeight="1" x14ac:dyDescent="0.3">
      <c r="A74" s="16"/>
      <c r="B74" s="14"/>
      <c r="C74" s="15"/>
      <c r="D74" s="26"/>
      <c r="E74" s="49" t="s">
        <v>187</v>
      </c>
      <c r="F74" s="96">
        <f>12%*D73</f>
        <v>2.1732</v>
      </c>
      <c r="G74" s="96">
        <v>0</v>
      </c>
      <c r="H74" s="96">
        <f t="shared" si="15"/>
        <v>2.1732</v>
      </c>
      <c r="I74" s="97">
        <v>0</v>
      </c>
      <c r="J74" s="97">
        <v>0</v>
      </c>
      <c r="K74" s="97">
        <v>0</v>
      </c>
      <c r="L74" s="97">
        <v>0</v>
      </c>
      <c r="M74" s="97">
        <f t="shared" si="16"/>
        <v>0</v>
      </c>
      <c r="N74" s="35"/>
      <c r="O74" s="36"/>
      <c r="P74" s="16"/>
    </row>
    <row r="75" spans="1:16" ht="16.5" customHeight="1" x14ac:dyDescent="0.3">
      <c r="A75" s="16"/>
      <c r="B75" s="14" t="s">
        <v>59</v>
      </c>
      <c r="C75" s="15" t="s">
        <v>43</v>
      </c>
      <c r="D75" s="26">
        <v>18.79</v>
      </c>
      <c r="E75" s="47" t="s">
        <v>164</v>
      </c>
      <c r="F75" s="26">
        <f>9%*D75</f>
        <v>1.6910999999999998</v>
      </c>
      <c r="G75" s="26">
        <v>0</v>
      </c>
      <c r="H75" s="26">
        <f t="shared" si="15"/>
        <v>1.6910999999999998</v>
      </c>
      <c r="I75" s="19">
        <v>0</v>
      </c>
      <c r="J75" s="19"/>
      <c r="K75" s="19">
        <v>1</v>
      </c>
      <c r="L75" s="19">
        <v>0</v>
      </c>
      <c r="M75" s="19">
        <f t="shared" si="16"/>
        <v>1</v>
      </c>
      <c r="N75" s="35"/>
      <c r="O75" s="36" t="s">
        <v>137</v>
      </c>
      <c r="P75" s="16"/>
    </row>
    <row r="76" spans="1:16" ht="17.25" customHeight="1" x14ac:dyDescent="0.3">
      <c r="A76" s="16"/>
      <c r="B76" s="14" t="s">
        <v>60</v>
      </c>
      <c r="C76" s="15" t="s">
        <v>44</v>
      </c>
      <c r="D76" s="26">
        <v>30.5</v>
      </c>
      <c r="E76" s="47" t="s">
        <v>164</v>
      </c>
      <c r="F76" s="26">
        <f>9%*D76</f>
        <v>2.7450000000000001</v>
      </c>
      <c r="G76" s="26">
        <v>0</v>
      </c>
      <c r="H76" s="26">
        <f t="shared" si="15"/>
        <v>2.7450000000000001</v>
      </c>
      <c r="I76" s="19">
        <v>0</v>
      </c>
      <c r="J76" s="19">
        <v>0</v>
      </c>
      <c r="K76" s="19">
        <v>0</v>
      </c>
      <c r="L76" s="19">
        <v>0</v>
      </c>
      <c r="M76" s="19">
        <f t="shared" si="16"/>
        <v>0</v>
      </c>
      <c r="N76" s="35"/>
      <c r="O76" s="36" t="s">
        <v>145</v>
      </c>
      <c r="P76" s="16"/>
    </row>
    <row r="77" spans="1:16" ht="15.75" customHeight="1" x14ac:dyDescent="0.3">
      <c r="A77" s="16"/>
      <c r="B77" s="14" t="s">
        <v>61</v>
      </c>
      <c r="C77" s="15" t="s">
        <v>33</v>
      </c>
      <c r="D77" s="26">
        <v>5.5</v>
      </c>
      <c r="E77" s="47" t="s">
        <v>164</v>
      </c>
      <c r="F77" s="26">
        <f>9%*D77</f>
        <v>0.495</v>
      </c>
      <c r="G77" s="26">
        <v>0</v>
      </c>
      <c r="H77" s="26">
        <f t="shared" si="15"/>
        <v>0.495</v>
      </c>
      <c r="I77" s="19">
        <v>0</v>
      </c>
      <c r="J77" s="19">
        <v>0</v>
      </c>
      <c r="K77" s="19">
        <v>0</v>
      </c>
      <c r="L77" s="19">
        <v>0</v>
      </c>
      <c r="M77" s="19">
        <f t="shared" si="16"/>
        <v>0</v>
      </c>
      <c r="N77" s="35"/>
      <c r="O77" s="36" t="s">
        <v>146</v>
      </c>
      <c r="P77" s="16"/>
    </row>
    <row r="78" spans="1:16" ht="17.25" customHeight="1" x14ac:dyDescent="0.3">
      <c r="A78" s="16"/>
      <c r="B78" s="14" t="s">
        <v>62</v>
      </c>
      <c r="C78" s="15" t="s">
        <v>32</v>
      </c>
      <c r="D78" s="26">
        <v>1.25</v>
      </c>
      <c r="E78" s="47" t="s">
        <v>164</v>
      </c>
      <c r="F78" s="26">
        <f>1%*D78</f>
        <v>1.2500000000000001E-2</v>
      </c>
      <c r="G78" s="26">
        <v>0</v>
      </c>
      <c r="H78" s="26">
        <f t="shared" si="15"/>
        <v>1.2500000000000001E-2</v>
      </c>
      <c r="I78" s="19">
        <v>0</v>
      </c>
      <c r="J78" s="19">
        <v>0</v>
      </c>
      <c r="K78" s="19">
        <v>0</v>
      </c>
      <c r="L78" s="19">
        <v>0</v>
      </c>
      <c r="M78" s="19">
        <f t="shared" si="16"/>
        <v>0</v>
      </c>
      <c r="N78" s="35"/>
      <c r="O78" s="36"/>
      <c r="P78" s="16"/>
    </row>
    <row r="79" spans="1:16" ht="16.5" customHeight="1" x14ac:dyDescent="0.3">
      <c r="A79" s="16"/>
      <c r="B79" s="14">
        <v>9</v>
      </c>
      <c r="C79" s="15" t="s">
        <v>30</v>
      </c>
      <c r="D79" s="26">
        <v>10</v>
      </c>
      <c r="E79" s="47" t="s">
        <v>164</v>
      </c>
      <c r="F79" s="26">
        <f>11%*D79</f>
        <v>1.1000000000000001</v>
      </c>
      <c r="G79" s="26">
        <v>0</v>
      </c>
      <c r="H79" s="26">
        <f t="shared" si="15"/>
        <v>1.1000000000000001</v>
      </c>
      <c r="I79" s="19">
        <v>0</v>
      </c>
      <c r="J79" s="19">
        <v>0</v>
      </c>
      <c r="K79" s="19">
        <v>0</v>
      </c>
      <c r="L79" s="19">
        <v>0</v>
      </c>
      <c r="M79" s="19">
        <f t="shared" si="16"/>
        <v>0</v>
      </c>
      <c r="N79" s="35"/>
      <c r="O79" s="36"/>
      <c r="P79" s="16"/>
    </row>
    <row r="80" spans="1:16" ht="17.25" customHeight="1" x14ac:dyDescent="0.3">
      <c r="A80" s="87"/>
      <c r="B80" s="55" t="s">
        <v>64</v>
      </c>
      <c r="C80" s="56" t="s">
        <v>31</v>
      </c>
      <c r="D80" s="57">
        <v>4</v>
      </c>
      <c r="E80" s="85" t="s">
        <v>164</v>
      </c>
      <c r="F80" s="26">
        <f>14%*D80</f>
        <v>0.56000000000000005</v>
      </c>
      <c r="G80" s="26">
        <v>0</v>
      </c>
      <c r="H80" s="26">
        <f t="shared" si="15"/>
        <v>0.56000000000000005</v>
      </c>
      <c r="I80" s="79">
        <v>0</v>
      </c>
      <c r="J80" s="79">
        <v>0</v>
      </c>
      <c r="K80" s="79">
        <v>0</v>
      </c>
      <c r="L80" s="79">
        <v>0</v>
      </c>
      <c r="M80" s="79">
        <f t="shared" si="16"/>
        <v>0</v>
      </c>
      <c r="N80" s="80"/>
      <c r="O80" s="81"/>
      <c r="P80" s="87"/>
    </row>
    <row r="81" spans="1:16" ht="18.75" customHeight="1" x14ac:dyDescent="0.3">
      <c r="A81" s="75"/>
      <c r="B81" s="71"/>
      <c r="C81" s="72"/>
      <c r="D81" s="73">
        <f>SUM(D72:D80)</f>
        <v>97.65</v>
      </c>
      <c r="E81" s="74"/>
      <c r="F81" s="73">
        <f t="shared" ref="F81:K81" si="17">SUM(F72:F80)</f>
        <v>11.261699999999998</v>
      </c>
      <c r="G81" s="73">
        <f t="shared" si="17"/>
        <v>0.36220000000000002</v>
      </c>
      <c r="H81" s="73">
        <f t="shared" si="17"/>
        <v>11.623899999999999</v>
      </c>
      <c r="I81" s="83">
        <f t="shared" si="17"/>
        <v>0</v>
      </c>
      <c r="J81" s="83">
        <f t="shared" si="17"/>
        <v>0</v>
      </c>
      <c r="K81" s="83">
        <f t="shared" si="17"/>
        <v>4</v>
      </c>
      <c r="L81" s="83">
        <f>SUM(L56:L63)</f>
        <v>0</v>
      </c>
      <c r="M81" s="83">
        <f>SUM(M72:M80)</f>
        <v>4</v>
      </c>
      <c r="N81" s="76"/>
      <c r="O81" s="77"/>
      <c r="P81" s="75"/>
    </row>
    <row r="82" spans="1:16" ht="17.25" customHeight="1" x14ac:dyDescent="0.3">
      <c r="A82" s="103">
        <v>6</v>
      </c>
      <c r="B82" s="104" t="s">
        <v>116</v>
      </c>
      <c r="C82" s="104"/>
      <c r="D82" s="105"/>
      <c r="E82" s="106"/>
      <c r="F82" s="105"/>
      <c r="G82" s="107"/>
      <c r="H82" s="105"/>
      <c r="I82" s="107"/>
      <c r="J82" s="107"/>
      <c r="K82" s="107"/>
      <c r="L82" s="107"/>
      <c r="M82" s="107"/>
      <c r="N82" s="114"/>
      <c r="O82" s="112"/>
      <c r="P82" s="104"/>
    </row>
    <row r="83" spans="1:16" ht="58.5" customHeight="1" x14ac:dyDescent="0.3">
      <c r="A83" s="16"/>
      <c r="B83" s="98" t="s">
        <v>57</v>
      </c>
      <c r="C83" s="99" t="s">
        <v>30</v>
      </c>
      <c r="D83" s="96">
        <v>24.5</v>
      </c>
      <c r="E83" s="101" t="s">
        <v>188</v>
      </c>
      <c r="F83" s="96">
        <f>3%*D83</f>
        <v>0.73499999999999999</v>
      </c>
      <c r="G83" s="97">
        <v>0</v>
      </c>
      <c r="H83" s="96">
        <f t="shared" ref="H83:H87" si="18">SUM(F83:G83)</f>
        <v>0.73499999999999999</v>
      </c>
      <c r="I83" s="97">
        <v>0</v>
      </c>
      <c r="J83" s="97"/>
      <c r="K83" s="97"/>
      <c r="L83" s="97">
        <v>0</v>
      </c>
      <c r="M83" s="97">
        <f>SUM(I83:L83)</f>
        <v>0</v>
      </c>
      <c r="N83" s="35"/>
      <c r="O83" s="40" t="s">
        <v>239</v>
      </c>
      <c r="P83" s="16"/>
    </row>
    <row r="84" spans="1:16" ht="22.5" customHeight="1" x14ac:dyDescent="0.3">
      <c r="A84" s="16"/>
      <c r="B84" s="14" t="s">
        <v>58</v>
      </c>
      <c r="C84" s="15" t="s">
        <v>44</v>
      </c>
      <c r="D84" s="26">
        <v>72.03</v>
      </c>
      <c r="E84" s="47" t="s">
        <v>182</v>
      </c>
      <c r="F84" s="26">
        <f>4%*D84</f>
        <v>2.8812000000000002</v>
      </c>
      <c r="G84" s="19">
        <v>0</v>
      </c>
      <c r="H84" s="26">
        <f t="shared" si="18"/>
        <v>2.8812000000000002</v>
      </c>
      <c r="I84" s="19">
        <v>0</v>
      </c>
      <c r="J84" s="19"/>
      <c r="K84" s="19">
        <v>2</v>
      </c>
      <c r="L84" s="19">
        <v>0</v>
      </c>
      <c r="M84" s="19">
        <f t="shared" ref="M84:M87" si="19">SUM(I84:L84)</f>
        <v>2</v>
      </c>
      <c r="N84" s="35"/>
      <c r="O84" s="36"/>
      <c r="P84" s="16"/>
    </row>
    <row r="85" spans="1:16" ht="30.75" customHeight="1" x14ac:dyDescent="0.3">
      <c r="A85" s="16"/>
      <c r="B85" s="14"/>
      <c r="C85" s="15"/>
      <c r="D85" s="26"/>
      <c r="E85" s="101" t="s">
        <v>181</v>
      </c>
      <c r="F85" s="96">
        <f>9%*D84</f>
        <v>6.4826999999999995</v>
      </c>
      <c r="G85" s="97">
        <v>0</v>
      </c>
      <c r="H85" s="96">
        <f t="shared" si="18"/>
        <v>6.4826999999999995</v>
      </c>
      <c r="I85" s="97">
        <v>0</v>
      </c>
      <c r="J85" s="97"/>
      <c r="K85" s="97">
        <v>0</v>
      </c>
      <c r="L85" s="97">
        <v>0</v>
      </c>
      <c r="M85" s="97">
        <f>SUM(I85:L85)</f>
        <v>0</v>
      </c>
      <c r="N85" s="35"/>
      <c r="O85" s="36"/>
      <c r="P85" s="16"/>
    </row>
    <row r="86" spans="1:16" ht="30" customHeight="1" x14ac:dyDescent="0.3">
      <c r="A86" s="16"/>
      <c r="B86" s="14" t="s">
        <v>59</v>
      </c>
      <c r="C86" s="15" t="s">
        <v>33</v>
      </c>
      <c r="D86" s="26">
        <v>14.2</v>
      </c>
      <c r="E86" s="101" t="s">
        <v>181</v>
      </c>
      <c r="F86" s="26">
        <f>10%*D86</f>
        <v>1.42</v>
      </c>
      <c r="G86" s="19">
        <v>0</v>
      </c>
      <c r="H86" s="26">
        <f t="shared" si="18"/>
        <v>1.42</v>
      </c>
      <c r="I86" s="19">
        <v>0</v>
      </c>
      <c r="J86" s="19"/>
      <c r="K86" s="19"/>
      <c r="L86" s="19">
        <v>0</v>
      </c>
      <c r="M86" s="19">
        <f t="shared" si="19"/>
        <v>0</v>
      </c>
      <c r="N86" s="35"/>
      <c r="O86" s="36"/>
      <c r="P86" s="16"/>
    </row>
    <row r="87" spans="1:16" ht="41.25" customHeight="1" x14ac:dyDescent="0.3">
      <c r="A87" s="108"/>
      <c r="B87" s="128" t="s">
        <v>61</v>
      </c>
      <c r="C87" s="126" t="s">
        <v>35</v>
      </c>
      <c r="D87" s="127">
        <v>35.72</v>
      </c>
      <c r="E87" s="142" t="s">
        <v>183</v>
      </c>
      <c r="F87" s="127">
        <f>7%*D87</f>
        <v>2.5004</v>
      </c>
      <c r="G87" s="143">
        <v>0</v>
      </c>
      <c r="H87" s="127">
        <f t="shared" si="18"/>
        <v>2.5004</v>
      </c>
      <c r="I87" s="143">
        <v>0</v>
      </c>
      <c r="J87" s="143">
        <v>0</v>
      </c>
      <c r="K87" s="143">
        <v>0</v>
      </c>
      <c r="L87" s="143">
        <v>0</v>
      </c>
      <c r="M87" s="143">
        <f t="shared" si="19"/>
        <v>0</v>
      </c>
      <c r="N87" s="115"/>
      <c r="O87" s="113"/>
      <c r="P87" s="108"/>
    </row>
    <row r="88" spans="1:16" ht="20.25" customHeight="1" x14ac:dyDescent="0.3">
      <c r="A88" s="75"/>
      <c r="B88" s="136"/>
      <c r="C88" s="137"/>
      <c r="D88" s="138">
        <f>SUM(D83:D87)</f>
        <v>146.44999999999999</v>
      </c>
      <c r="E88" s="139"/>
      <c r="F88" s="138">
        <f t="shared" ref="F88:M88" si="20">SUM(F83:F87)</f>
        <v>14.019300000000001</v>
      </c>
      <c r="G88" s="140">
        <f t="shared" si="20"/>
        <v>0</v>
      </c>
      <c r="H88" s="138">
        <f t="shared" si="20"/>
        <v>14.019300000000001</v>
      </c>
      <c r="I88" s="140">
        <f t="shared" si="20"/>
        <v>0</v>
      </c>
      <c r="J88" s="140">
        <f t="shared" si="20"/>
        <v>0</v>
      </c>
      <c r="K88" s="140">
        <f t="shared" si="20"/>
        <v>2</v>
      </c>
      <c r="L88" s="140">
        <f t="shared" si="20"/>
        <v>0</v>
      </c>
      <c r="M88" s="140">
        <f t="shared" si="20"/>
        <v>2</v>
      </c>
      <c r="N88" s="76"/>
      <c r="O88" s="77"/>
      <c r="P88" s="75"/>
    </row>
    <row r="89" spans="1:16" ht="15.75" customHeight="1" x14ac:dyDescent="0.3">
      <c r="A89" s="63">
        <v>7</v>
      </c>
      <c r="B89" s="8" t="s">
        <v>117</v>
      </c>
      <c r="C89" s="10"/>
      <c r="D89" s="90"/>
      <c r="E89" s="67"/>
      <c r="F89" s="66"/>
      <c r="G89" s="82"/>
      <c r="H89" s="66"/>
      <c r="I89" s="82"/>
      <c r="J89" s="82"/>
      <c r="K89" s="82"/>
      <c r="L89" s="82"/>
      <c r="M89" s="82"/>
      <c r="N89" s="69"/>
      <c r="O89" s="70"/>
      <c r="P89" s="5"/>
    </row>
    <row r="90" spans="1:16" ht="24.75" customHeight="1" x14ac:dyDescent="0.3">
      <c r="A90" s="16"/>
      <c r="B90" s="14" t="s">
        <v>57</v>
      </c>
      <c r="C90" s="15" t="s">
        <v>22</v>
      </c>
      <c r="D90" s="26">
        <v>296.95</v>
      </c>
      <c r="E90" s="101" t="s">
        <v>203</v>
      </c>
      <c r="F90" s="96">
        <f>3%*D90</f>
        <v>8.9085000000000001</v>
      </c>
      <c r="G90" s="97">
        <v>0</v>
      </c>
      <c r="H90" s="96">
        <f t="shared" ref="H90:H100" si="21">SUM(F90:G90)</f>
        <v>8.9085000000000001</v>
      </c>
      <c r="I90" s="97">
        <v>0</v>
      </c>
      <c r="J90" s="97">
        <v>6</v>
      </c>
      <c r="K90" s="97">
        <v>0</v>
      </c>
      <c r="L90" s="97">
        <v>4</v>
      </c>
      <c r="M90" s="97">
        <f>SUM(I90:L90)</f>
        <v>10</v>
      </c>
      <c r="N90" s="35"/>
      <c r="O90" s="40" t="s">
        <v>211</v>
      </c>
      <c r="P90" s="87"/>
    </row>
    <row r="91" spans="1:16" ht="18.75" customHeight="1" x14ac:dyDescent="0.3">
      <c r="A91" s="16"/>
      <c r="B91" s="14"/>
      <c r="C91" s="15"/>
      <c r="D91" s="26"/>
      <c r="E91" s="101" t="s">
        <v>220</v>
      </c>
      <c r="F91" s="96">
        <f>2%*D90</f>
        <v>5.9390000000000001</v>
      </c>
      <c r="G91" s="97"/>
      <c r="H91" s="96">
        <f>SUM(F91:G91)</f>
        <v>5.9390000000000001</v>
      </c>
      <c r="I91" s="97"/>
      <c r="J91" s="97"/>
      <c r="K91" s="97"/>
      <c r="L91" s="97"/>
      <c r="M91" s="97"/>
      <c r="N91" s="35"/>
      <c r="O91" s="40"/>
      <c r="P91" s="87"/>
    </row>
    <row r="92" spans="1:16" ht="32.25" customHeight="1" x14ac:dyDescent="0.3">
      <c r="A92" s="16"/>
      <c r="B92" s="14" t="s">
        <v>58</v>
      </c>
      <c r="C92" s="15" t="s">
        <v>42</v>
      </c>
      <c r="D92" s="26">
        <v>190.5</v>
      </c>
      <c r="E92" s="101" t="s">
        <v>203</v>
      </c>
      <c r="F92" s="96">
        <f>7%*D92</f>
        <v>13.335000000000001</v>
      </c>
      <c r="G92" s="97">
        <v>0</v>
      </c>
      <c r="H92" s="96">
        <f t="shared" si="21"/>
        <v>13.335000000000001</v>
      </c>
      <c r="I92" s="97">
        <v>0</v>
      </c>
      <c r="J92" s="97">
        <v>2</v>
      </c>
      <c r="K92" s="97">
        <v>0</v>
      </c>
      <c r="L92" s="97">
        <v>4</v>
      </c>
      <c r="M92" s="97">
        <f>SUM(I92:L92)</f>
        <v>6</v>
      </c>
      <c r="N92" s="35"/>
      <c r="O92" s="40" t="s">
        <v>137</v>
      </c>
      <c r="P92" s="87"/>
    </row>
    <row r="93" spans="1:16" ht="18.75" customHeight="1" x14ac:dyDescent="0.3">
      <c r="A93" s="16"/>
      <c r="B93" s="14"/>
      <c r="C93" s="15"/>
      <c r="D93" s="26"/>
      <c r="E93" s="101" t="s">
        <v>220</v>
      </c>
      <c r="F93" s="96">
        <f>8%*D92</f>
        <v>15.24</v>
      </c>
      <c r="G93" s="97"/>
      <c r="H93" s="96">
        <f>SUM(F93:G93)</f>
        <v>15.24</v>
      </c>
      <c r="I93" s="97"/>
      <c r="J93" s="97"/>
      <c r="K93" s="97"/>
      <c r="L93" s="97"/>
      <c r="M93" s="97"/>
      <c r="N93" s="35"/>
      <c r="O93" s="40"/>
      <c r="P93" s="87"/>
    </row>
    <row r="94" spans="1:16" ht="22.5" customHeight="1" x14ac:dyDescent="0.3">
      <c r="A94" s="16"/>
      <c r="B94" s="14" t="s">
        <v>59</v>
      </c>
      <c r="C94" s="15" t="s">
        <v>21</v>
      </c>
      <c r="D94" s="18" t="s">
        <v>201</v>
      </c>
      <c r="E94" s="101" t="s">
        <v>203</v>
      </c>
      <c r="F94" s="145"/>
      <c r="G94" s="146">
        <v>5</v>
      </c>
      <c r="H94" s="96">
        <f t="shared" si="21"/>
        <v>5</v>
      </c>
      <c r="I94" s="97">
        <v>0</v>
      </c>
      <c r="J94" s="97"/>
      <c r="K94" s="97">
        <v>0</v>
      </c>
      <c r="L94" s="97">
        <v>2</v>
      </c>
      <c r="M94" s="97">
        <f>SUM(I94:L94)</f>
        <v>2</v>
      </c>
      <c r="N94" s="35"/>
      <c r="O94" s="36"/>
      <c r="P94" s="87"/>
    </row>
    <row r="95" spans="1:16" ht="18.75" customHeight="1" x14ac:dyDescent="0.3">
      <c r="A95" s="16"/>
      <c r="B95" s="14"/>
      <c r="C95" s="15"/>
      <c r="D95" s="18"/>
      <c r="E95" s="101" t="s">
        <v>220</v>
      </c>
      <c r="F95" s="145"/>
      <c r="G95" s="97">
        <v>5</v>
      </c>
      <c r="H95" s="96">
        <f>SUM(F95:G95)</f>
        <v>5</v>
      </c>
      <c r="I95" s="97"/>
      <c r="J95" s="97"/>
      <c r="K95" s="97"/>
      <c r="L95" s="97"/>
      <c r="M95" s="97"/>
      <c r="N95" s="35"/>
      <c r="O95" s="36"/>
      <c r="P95" s="87"/>
    </row>
    <row r="96" spans="1:16" ht="24" customHeight="1" x14ac:dyDescent="0.3">
      <c r="A96" s="16"/>
      <c r="B96" s="14" t="s">
        <v>60</v>
      </c>
      <c r="C96" s="15" t="s">
        <v>43</v>
      </c>
      <c r="D96" s="26">
        <v>244.8</v>
      </c>
      <c r="E96" s="101" t="s">
        <v>221</v>
      </c>
      <c r="F96" s="96">
        <f>7%*D96</f>
        <v>17.136000000000003</v>
      </c>
      <c r="G96" s="97">
        <v>0</v>
      </c>
      <c r="H96" s="96">
        <f t="shared" si="21"/>
        <v>17.136000000000003</v>
      </c>
      <c r="I96" s="97">
        <v>0</v>
      </c>
      <c r="J96" s="97">
        <v>6</v>
      </c>
      <c r="K96" s="97">
        <v>0</v>
      </c>
      <c r="L96" s="97">
        <v>5</v>
      </c>
      <c r="M96" s="97">
        <f>SUM(I96:L96)</f>
        <v>11</v>
      </c>
      <c r="N96" s="35"/>
      <c r="O96" s="36"/>
      <c r="P96" s="87"/>
    </row>
    <row r="97" spans="1:16" ht="20.25" customHeight="1" x14ac:dyDescent="0.3">
      <c r="A97" s="16"/>
      <c r="B97" s="14"/>
      <c r="C97" s="15"/>
      <c r="D97" s="26"/>
      <c r="E97" s="101" t="s">
        <v>220</v>
      </c>
      <c r="F97" s="96"/>
      <c r="G97" s="96">
        <f>13%*D96</f>
        <v>31.824000000000002</v>
      </c>
      <c r="H97" s="96">
        <f>SUM(F97:G97)</f>
        <v>31.824000000000002</v>
      </c>
      <c r="I97" s="97"/>
      <c r="J97" s="97"/>
      <c r="K97" s="97"/>
      <c r="L97" s="97"/>
      <c r="M97" s="97"/>
      <c r="N97" s="35"/>
      <c r="O97" s="36"/>
      <c r="P97" s="87"/>
    </row>
    <row r="98" spans="1:16" ht="23.25" customHeight="1" x14ac:dyDescent="0.3">
      <c r="A98" s="16"/>
      <c r="B98" s="14" t="s">
        <v>61</v>
      </c>
      <c r="C98" s="15" t="s">
        <v>44</v>
      </c>
      <c r="D98" s="26">
        <v>57.95</v>
      </c>
      <c r="E98" s="101" t="s">
        <v>203</v>
      </c>
      <c r="F98" s="26">
        <f>9%*D98</f>
        <v>5.2155000000000005</v>
      </c>
      <c r="G98" s="19">
        <v>0</v>
      </c>
      <c r="H98" s="26">
        <f t="shared" si="21"/>
        <v>5.2155000000000005</v>
      </c>
      <c r="I98" s="19">
        <v>0</v>
      </c>
      <c r="J98" s="19"/>
      <c r="K98" s="19"/>
      <c r="L98" s="19">
        <v>0</v>
      </c>
      <c r="M98" s="19">
        <f t="shared" ref="M98:M101" si="22">SUM(I98:L98)</f>
        <v>0</v>
      </c>
      <c r="N98" s="35"/>
      <c r="O98" s="36"/>
      <c r="P98" s="87"/>
    </row>
    <row r="99" spans="1:16" ht="18.75" customHeight="1" x14ac:dyDescent="0.3">
      <c r="A99" s="16"/>
      <c r="B99" s="14"/>
      <c r="C99" s="15"/>
      <c r="D99" s="26"/>
      <c r="E99" s="101" t="s">
        <v>220</v>
      </c>
      <c r="F99" s="26"/>
      <c r="G99" s="26">
        <f>9%*D98</f>
        <v>5.2155000000000005</v>
      </c>
      <c r="H99" s="26">
        <f>SUM(F99:G99)</f>
        <v>5.2155000000000005</v>
      </c>
      <c r="I99" s="97">
        <v>0</v>
      </c>
      <c r="J99" s="97">
        <v>0</v>
      </c>
      <c r="K99" s="97">
        <v>0</v>
      </c>
      <c r="L99" s="97">
        <v>0</v>
      </c>
      <c r="M99" s="97">
        <f t="shared" si="22"/>
        <v>0</v>
      </c>
      <c r="N99" s="35"/>
      <c r="O99" s="36"/>
      <c r="P99" s="87"/>
    </row>
    <row r="100" spans="1:16" ht="22.5" customHeight="1" x14ac:dyDescent="0.3">
      <c r="A100" s="16"/>
      <c r="B100" s="14" t="s">
        <v>62</v>
      </c>
      <c r="C100" s="15" t="s">
        <v>27</v>
      </c>
      <c r="D100" s="26">
        <v>2.5</v>
      </c>
      <c r="E100" s="101" t="s">
        <v>203</v>
      </c>
      <c r="F100" s="96">
        <f>4%*D100</f>
        <v>0.1</v>
      </c>
      <c r="G100" s="97">
        <v>0</v>
      </c>
      <c r="H100" s="96">
        <f t="shared" si="21"/>
        <v>0.1</v>
      </c>
      <c r="I100" s="97">
        <v>0</v>
      </c>
      <c r="J100" s="97">
        <v>0</v>
      </c>
      <c r="K100" s="97">
        <v>0</v>
      </c>
      <c r="L100" s="97">
        <v>0</v>
      </c>
      <c r="M100" s="97">
        <f t="shared" si="22"/>
        <v>0</v>
      </c>
      <c r="N100" s="35"/>
      <c r="O100" s="36"/>
      <c r="P100" s="87"/>
    </row>
    <row r="101" spans="1:16" ht="18.75" customHeight="1" x14ac:dyDescent="0.3">
      <c r="A101" s="87"/>
      <c r="B101" s="55"/>
      <c r="C101" s="56"/>
      <c r="D101" s="57"/>
      <c r="E101" s="132"/>
      <c r="F101" s="124"/>
      <c r="G101" s="124"/>
      <c r="H101" s="124">
        <f>SUM(F101:G101)</f>
        <v>0</v>
      </c>
      <c r="I101" s="133">
        <v>0</v>
      </c>
      <c r="J101" s="133">
        <v>0</v>
      </c>
      <c r="K101" s="133">
        <v>0</v>
      </c>
      <c r="L101" s="133">
        <v>0</v>
      </c>
      <c r="M101" s="133">
        <f t="shared" si="22"/>
        <v>0</v>
      </c>
      <c r="N101" s="80"/>
      <c r="O101" s="81"/>
      <c r="P101" s="87"/>
    </row>
    <row r="102" spans="1:16" ht="18.75" customHeight="1" x14ac:dyDescent="0.3">
      <c r="A102" s="75"/>
      <c r="B102" s="71"/>
      <c r="C102" s="72"/>
      <c r="D102" s="73">
        <f>SUM(D90:D101)</f>
        <v>792.7</v>
      </c>
      <c r="E102" s="74"/>
      <c r="F102" s="73">
        <f>SUM(F83:F101)</f>
        <v>93.912600000000012</v>
      </c>
      <c r="G102" s="83">
        <f>SUM(G83:G101)</f>
        <v>47.039499999999997</v>
      </c>
      <c r="H102" s="73">
        <f>SUM(H83:H101)</f>
        <v>140.9521</v>
      </c>
      <c r="I102" s="83">
        <f>SUM(I90:I101)</f>
        <v>0</v>
      </c>
      <c r="J102" s="83">
        <f>SUM(J90:J101)</f>
        <v>14</v>
      </c>
      <c r="K102" s="83">
        <f>SUM(K90:K101)</f>
        <v>0</v>
      </c>
      <c r="L102" s="83">
        <f>SUM(L90:L101)</f>
        <v>15</v>
      </c>
      <c r="M102" s="83">
        <f>SUM(M89:M101)</f>
        <v>29</v>
      </c>
      <c r="N102" s="71"/>
      <c r="O102" s="72"/>
      <c r="P102" s="75"/>
    </row>
    <row r="103" spans="1:16" ht="8.25" customHeight="1" x14ac:dyDescent="0.3">
      <c r="F103" s="2"/>
      <c r="G103" s="2"/>
      <c r="H103" s="2"/>
      <c r="I103" s="2"/>
      <c r="J103" s="2"/>
      <c r="K103" s="2"/>
      <c r="L103" s="2"/>
      <c r="M103" s="2"/>
    </row>
    <row r="104" spans="1:16" ht="14.25" customHeight="1" x14ac:dyDescent="0.3">
      <c r="F104" s="2"/>
      <c r="G104" s="2"/>
      <c r="H104" s="2"/>
      <c r="I104" s="2"/>
      <c r="J104" s="2" t="s">
        <v>247</v>
      </c>
      <c r="K104" s="2"/>
      <c r="L104" s="2"/>
      <c r="M104" s="2"/>
    </row>
    <row r="105" spans="1:16" ht="12" customHeight="1" x14ac:dyDescent="0.3">
      <c r="A105" s="395" t="s">
        <v>80</v>
      </c>
      <c r="B105" s="395"/>
      <c r="C105" s="395"/>
      <c r="D105" s="395"/>
    </row>
    <row r="106" spans="1:16" x14ac:dyDescent="0.3">
      <c r="A106" s="395" t="s">
        <v>81</v>
      </c>
      <c r="B106" s="395"/>
      <c r="C106" s="395"/>
      <c r="D106" s="395"/>
      <c r="J106" s="1" t="s">
        <v>85</v>
      </c>
    </row>
    <row r="107" spans="1:16" x14ac:dyDescent="0.3">
      <c r="A107" s="395" t="s">
        <v>82</v>
      </c>
      <c r="B107" s="395"/>
      <c r="C107" s="395"/>
      <c r="D107" s="395"/>
      <c r="J107" s="3" t="s">
        <v>86</v>
      </c>
      <c r="K107" s="1" t="s">
        <v>87</v>
      </c>
      <c r="O107" s="1" t="s">
        <v>90</v>
      </c>
    </row>
    <row r="108" spans="1:16" x14ac:dyDescent="0.3">
      <c r="A108" s="395" t="s">
        <v>83</v>
      </c>
      <c r="B108" s="395"/>
      <c r="C108" s="395"/>
      <c r="D108" s="395"/>
      <c r="K108" s="1" t="s">
        <v>91</v>
      </c>
    </row>
    <row r="109" spans="1:16" ht="13.5" customHeight="1" x14ac:dyDescent="0.3"/>
    <row r="110" spans="1:16" ht="13.5" customHeight="1" x14ac:dyDescent="0.3"/>
    <row r="111" spans="1:16" x14ac:dyDescent="0.3">
      <c r="A111" s="398" t="s">
        <v>175</v>
      </c>
      <c r="B111" s="398"/>
      <c r="C111" s="398"/>
      <c r="D111" s="398"/>
      <c r="J111" s="3" t="s">
        <v>88</v>
      </c>
      <c r="K111" s="1" t="s">
        <v>89</v>
      </c>
      <c r="O111" s="1" t="s">
        <v>90</v>
      </c>
    </row>
    <row r="112" spans="1:16" x14ac:dyDescent="0.3">
      <c r="A112" s="395" t="s">
        <v>190</v>
      </c>
      <c r="B112" s="395"/>
      <c r="C112" s="395"/>
      <c r="D112" s="395"/>
      <c r="K112" s="1" t="s">
        <v>92</v>
      </c>
    </row>
  </sheetData>
  <mergeCells count="17">
    <mergeCell ref="A112:D112"/>
    <mergeCell ref="O23:O27"/>
    <mergeCell ref="A105:D105"/>
    <mergeCell ref="A106:D106"/>
    <mergeCell ref="A107:D107"/>
    <mergeCell ref="A108:D108"/>
    <mergeCell ref="A111:D111"/>
    <mergeCell ref="A1:P1"/>
    <mergeCell ref="A6:A7"/>
    <mergeCell ref="B6:C6"/>
    <mergeCell ref="D6:D7"/>
    <mergeCell ref="E6:E7"/>
    <mergeCell ref="F6:H6"/>
    <mergeCell ref="I6:M6"/>
    <mergeCell ref="N6:O7"/>
    <mergeCell ref="P6:P7"/>
    <mergeCell ref="B7:C7"/>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W110"/>
  <sheetViews>
    <sheetView view="pageBreakPreview" topLeftCell="A58" zoomScale="96" zoomScaleNormal="100" zoomScaleSheetLayoutView="96" workbookViewId="0">
      <selection activeCell="C97" sqref="C97"/>
    </sheetView>
  </sheetViews>
  <sheetFormatPr defaultColWidth="9.1796875" defaultRowHeight="14" x14ac:dyDescent="0.3"/>
  <cols>
    <col min="1" max="1" width="8" style="1" customWidth="1"/>
    <col min="2" max="2" width="2.1796875" style="1" customWidth="1"/>
    <col min="3" max="3" width="15.7265625" style="1" customWidth="1"/>
    <col min="4" max="4" width="9.7265625" style="1" customWidth="1"/>
    <col min="5" max="5" width="27.26953125" style="1" customWidth="1"/>
    <col min="6" max="6" width="9" style="1" bestFit="1" customWidth="1"/>
    <col min="7" max="7" width="8.81640625" style="1" customWidth="1"/>
    <col min="8" max="8" width="9" style="1" customWidth="1"/>
    <col min="9" max="9" width="7.1796875" style="1" customWidth="1"/>
    <col min="10" max="10" width="7.54296875" style="1" customWidth="1"/>
    <col min="11" max="11" width="8.26953125" style="1" customWidth="1"/>
    <col min="12" max="12" width="7.54296875" style="1" customWidth="1"/>
    <col min="13" max="13" width="6.81640625" style="1" bestFit="1" customWidth="1"/>
    <col min="14" max="14" width="2.1796875" style="1" customWidth="1"/>
    <col min="15" max="15" width="19.26953125" style="1" customWidth="1"/>
    <col min="16" max="16" width="15.453125" style="1" customWidth="1"/>
    <col min="17" max="17" width="10.26953125" style="1" customWidth="1"/>
    <col min="18" max="18" width="14.54296875" style="1" bestFit="1" customWidth="1"/>
    <col min="19" max="19" width="17" style="1" bestFit="1" customWidth="1"/>
    <col min="20" max="20" width="15.453125" style="1" customWidth="1"/>
    <col min="21" max="21" width="10.26953125" style="1" customWidth="1"/>
    <col min="22" max="16384" width="9.1796875" style="1"/>
  </cols>
  <sheetData>
    <row r="1" spans="1:23" x14ac:dyDescent="0.3">
      <c r="A1" s="385" t="s">
        <v>260</v>
      </c>
      <c r="B1" s="385"/>
      <c r="C1" s="385"/>
      <c r="D1" s="385"/>
      <c r="E1" s="385"/>
      <c r="F1" s="385"/>
      <c r="G1" s="385"/>
      <c r="H1" s="385"/>
      <c r="I1" s="385"/>
      <c r="J1" s="385"/>
      <c r="K1" s="385"/>
      <c r="L1" s="385"/>
      <c r="M1" s="385"/>
      <c r="N1" s="385"/>
      <c r="O1" s="385"/>
      <c r="P1" s="385"/>
      <c r="Q1" s="385"/>
    </row>
    <row r="2" spans="1:23" ht="14.25" customHeight="1" x14ac:dyDescent="0.3">
      <c r="A2" s="385" t="s">
        <v>261</v>
      </c>
      <c r="B2" s="385"/>
      <c r="C2" s="385"/>
      <c r="D2" s="385"/>
      <c r="E2" s="385"/>
      <c r="F2" s="385"/>
      <c r="G2" s="385"/>
      <c r="H2" s="385"/>
      <c r="I2" s="385"/>
      <c r="J2" s="385"/>
      <c r="K2" s="385"/>
      <c r="L2" s="385"/>
      <c r="M2" s="385"/>
      <c r="N2" s="385"/>
      <c r="O2" s="385"/>
      <c r="P2" s="385"/>
      <c r="Q2" s="385"/>
    </row>
    <row r="3" spans="1:23" ht="14.25" customHeight="1" x14ac:dyDescent="0.3">
      <c r="A3" s="1" t="s">
        <v>1</v>
      </c>
      <c r="B3" s="1" t="s">
        <v>78</v>
      </c>
      <c r="C3" s="1" t="s">
        <v>77</v>
      </c>
    </row>
    <row r="4" spans="1:23" ht="14.25" customHeight="1" x14ac:dyDescent="0.3">
      <c r="A4" s="1" t="s">
        <v>2</v>
      </c>
      <c r="B4" s="1" t="s">
        <v>78</v>
      </c>
      <c r="C4" s="4" t="s">
        <v>252</v>
      </c>
    </row>
    <row r="6" spans="1:23" ht="33" customHeight="1" x14ac:dyDescent="0.3">
      <c r="A6" s="386" t="s">
        <v>3</v>
      </c>
      <c r="B6" s="388" t="s">
        <v>4</v>
      </c>
      <c r="C6" s="388"/>
      <c r="D6" s="389" t="s">
        <v>259</v>
      </c>
      <c r="E6" s="391" t="s">
        <v>7</v>
      </c>
      <c r="F6" s="393" t="s">
        <v>170</v>
      </c>
      <c r="G6" s="393"/>
      <c r="H6" s="393"/>
      <c r="I6" s="393" t="s">
        <v>12</v>
      </c>
      <c r="J6" s="393"/>
      <c r="K6" s="393"/>
      <c r="L6" s="393"/>
      <c r="M6" s="393"/>
      <c r="N6" s="391" t="s">
        <v>17</v>
      </c>
      <c r="O6" s="391"/>
      <c r="P6" s="391" t="s">
        <v>258</v>
      </c>
      <c r="Q6" s="386" t="s">
        <v>192</v>
      </c>
    </row>
    <row r="7" spans="1:23" x14ac:dyDescent="0.3">
      <c r="A7" s="387"/>
      <c r="B7" s="394" t="s">
        <v>5</v>
      </c>
      <c r="C7" s="394"/>
      <c r="D7" s="390"/>
      <c r="E7" s="392"/>
      <c r="F7" s="147" t="s">
        <v>9</v>
      </c>
      <c r="G7" s="147" t="s">
        <v>10</v>
      </c>
      <c r="H7" s="147" t="s">
        <v>11</v>
      </c>
      <c r="I7" s="147" t="s">
        <v>16</v>
      </c>
      <c r="J7" s="147" t="s">
        <v>13</v>
      </c>
      <c r="K7" s="147" t="s">
        <v>14</v>
      </c>
      <c r="L7" s="148" t="s">
        <v>257</v>
      </c>
      <c r="M7" s="147" t="s">
        <v>11</v>
      </c>
      <c r="N7" s="392"/>
      <c r="O7" s="392"/>
      <c r="P7" s="392"/>
      <c r="Q7" s="387"/>
      <c r="S7" s="1" t="s">
        <v>331</v>
      </c>
      <c r="T7" s="1" t="s">
        <v>332</v>
      </c>
    </row>
    <row r="8" spans="1:23" ht="9" customHeight="1" x14ac:dyDescent="0.3">
      <c r="A8" s="5"/>
      <c r="B8" s="8"/>
      <c r="C8" s="10"/>
      <c r="D8" s="5"/>
      <c r="E8" s="5"/>
      <c r="F8" s="5"/>
      <c r="G8" s="5"/>
      <c r="H8" s="5"/>
      <c r="I8" s="5"/>
      <c r="J8" s="5"/>
      <c r="K8" s="5"/>
      <c r="L8" s="5"/>
      <c r="M8" s="5"/>
      <c r="N8" s="8"/>
      <c r="O8" s="10"/>
      <c r="P8" s="10"/>
      <c r="Q8" s="5"/>
    </row>
    <row r="9" spans="1:23" ht="16.5" customHeight="1" x14ac:dyDescent="0.3">
      <c r="A9" s="13">
        <v>1</v>
      </c>
      <c r="B9" s="14" t="s">
        <v>20</v>
      </c>
      <c r="C9" s="15"/>
      <c r="D9" s="16"/>
      <c r="E9" s="47"/>
      <c r="F9" s="16"/>
      <c r="G9" s="16"/>
      <c r="H9" s="16"/>
      <c r="I9" s="16"/>
      <c r="J9" s="16"/>
      <c r="K9" s="16"/>
      <c r="L9" s="16"/>
      <c r="M9" s="16"/>
      <c r="N9" s="35"/>
      <c r="O9" s="36"/>
      <c r="P9" s="36"/>
      <c r="Q9" s="16"/>
    </row>
    <row r="10" spans="1:23" ht="18.75" customHeight="1" x14ac:dyDescent="0.3">
      <c r="A10" s="13"/>
      <c r="B10" s="17" t="s">
        <v>57</v>
      </c>
      <c r="C10" s="15" t="s">
        <v>21</v>
      </c>
      <c r="D10" s="18">
        <v>418.06</v>
      </c>
      <c r="E10" s="47" t="s">
        <v>36</v>
      </c>
      <c r="F10" s="26">
        <f>4%*D10</f>
        <v>16.7224</v>
      </c>
      <c r="G10" s="26">
        <f>1%*D10</f>
        <v>4.1806000000000001</v>
      </c>
      <c r="H10" s="26">
        <f>SUM(F10:G10)</f>
        <v>20.902999999999999</v>
      </c>
      <c r="I10" s="19">
        <v>0</v>
      </c>
      <c r="J10" s="19"/>
      <c r="K10" s="19">
        <v>4</v>
      </c>
      <c r="L10" s="19">
        <v>2</v>
      </c>
      <c r="M10" s="20">
        <f>SUM(I10:L10)</f>
        <v>6</v>
      </c>
      <c r="N10" s="37"/>
      <c r="O10" s="36"/>
      <c r="P10" s="161"/>
      <c r="Q10" s="16"/>
      <c r="R10" s="163"/>
      <c r="S10" s="163">
        <f>D10*400*70000</f>
        <v>11705680000</v>
      </c>
    </row>
    <row r="11" spans="1:23" ht="18.75" customHeight="1" x14ac:dyDescent="0.3">
      <c r="A11" s="13"/>
      <c r="B11" s="14"/>
      <c r="C11" s="15"/>
      <c r="D11" s="18"/>
      <c r="E11" s="47" t="s">
        <v>37</v>
      </c>
      <c r="F11" s="26">
        <f>8%*D10</f>
        <v>33.444800000000001</v>
      </c>
      <c r="G11" s="26">
        <f>1%*D10</f>
        <v>4.1806000000000001</v>
      </c>
      <c r="H11" s="26">
        <f>SUM(F11:G11)</f>
        <v>37.625399999999999</v>
      </c>
      <c r="I11" s="19">
        <v>0</v>
      </c>
      <c r="J11" s="19"/>
      <c r="K11" s="19">
        <v>4</v>
      </c>
      <c r="L11" s="19">
        <v>1</v>
      </c>
      <c r="M11" s="20">
        <f t="shared" ref="M11:M23" si="0">SUM(I11:L11)</f>
        <v>5</v>
      </c>
      <c r="N11" s="37" t="s">
        <v>51</v>
      </c>
      <c r="O11" s="38" t="s">
        <v>50</v>
      </c>
      <c r="P11" s="161"/>
      <c r="Q11" s="16"/>
      <c r="R11" s="2"/>
      <c r="T11" s="1" t="s">
        <v>289</v>
      </c>
      <c r="U11" s="1" t="s">
        <v>291</v>
      </c>
      <c r="V11" s="1" t="s">
        <v>292</v>
      </c>
    </row>
    <row r="12" spans="1:23" ht="25.5" customHeight="1" x14ac:dyDescent="0.3">
      <c r="A12" s="13"/>
      <c r="B12" s="14"/>
      <c r="C12" s="15"/>
      <c r="D12" s="18"/>
      <c r="E12" s="47" t="s">
        <v>38</v>
      </c>
      <c r="F12" s="26">
        <f>8%*D10</f>
        <v>33.444800000000001</v>
      </c>
      <c r="G12" s="26">
        <f>4%*D10</f>
        <v>16.7224</v>
      </c>
      <c r="H12" s="26">
        <f>SUM(F12:G12)</f>
        <v>50.167200000000001</v>
      </c>
      <c r="I12" s="19">
        <v>0</v>
      </c>
      <c r="J12" s="19"/>
      <c r="K12" s="19">
        <v>4</v>
      </c>
      <c r="L12" s="19">
        <v>1</v>
      </c>
      <c r="M12" s="20">
        <f t="shared" si="0"/>
        <v>5</v>
      </c>
      <c r="N12" s="37" t="s">
        <v>51</v>
      </c>
      <c r="O12" s="40" t="s">
        <v>49</v>
      </c>
      <c r="P12" s="161"/>
      <c r="Q12" s="16"/>
      <c r="S12" s="1" t="s">
        <v>288</v>
      </c>
      <c r="T12" s="1" t="s">
        <v>290</v>
      </c>
      <c r="U12" s="1">
        <v>200</v>
      </c>
      <c r="V12" s="1">
        <v>15</v>
      </c>
    </row>
    <row r="13" spans="1:23" ht="30" customHeight="1" x14ac:dyDescent="0.3">
      <c r="A13" s="13"/>
      <c r="B13" s="14"/>
      <c r="C13" s="15"/>
      <c r="D13" s="18"/>
      <c r="E13" s="48" t="s">
        <v>39</v>
      </c>
      <c r="F13" s="26">
        <f>29%*D10</f>
        <v>121.23739999999999</v>
      </c>
      <c r="G13" s="26">
        <f>4%*D10</f>
        <v>16.7224</v>
      </c>
      <c r="H13" s="26">
        <f>SUM(F13:G13)</f>
        <v>137.9598</v>
      </c>
      <c r="I13" s="22">
        <v>0</v>
      </c>
      <c r="J13" s="22">
        <v>0</v>
      </c>
      <c r="K13" s="22">
        <v>0</v>
      </c>
      <c r="L13" s="22">
        <v>2</v>
      </c>
      <c r="M13" s="23">
        <f t="shared" si="0"/>
        <v>2</v>
      </c>
      <c r="N13" s="39" t="s">
        <v>51</v>
      </c>
      <c r="O13" s="40" t="s">
        <v>48</v>
      </c>
      <c r="P13" s="161"/>
      <c r="Q13" s="16"/>
    </row>
    <row r="14" spans="1:23" ht="18.75" customHeight="1" x14ac:dyDescent="0.3">
      <c r="A14" s="13"/>
      <c r="B14" s="17" t="s">
        <v>58</v>
      </c>
      <c r="C14" s="15" t="s">
        <v>22</v>
      </c>
      <c r="D14" s="18">
        <v>827.82</v>
      </c>
      <c r="E14" s="47" t="s">
        <v>36</v>
      </c>
      <c r="F14" s="26">
        <f>5%*D14</f>
        <v>41.391000000000005</v>
      </c>
      <c r="G14" s="26">
        <f>4%*D14</f>
        <v>33.1128</v>
      </c>
      <c r="H14" s="26">
        <f>SUM(F14:G14)</f>
        <v>74.503800000000012</v>
      </c>
      <c r="I14" s="19">
        <v>0</v>
      </c>
      <c r="J14" s="19"/>
      <c r="K14" s="19">
        <v>5</v>
      </c>
      <c r="L14" s="19">
        <v>3</v>
      </c>
      <c r="M14" s="20">
        <f t="shared" si="0"/>
        <v>8</v>
      </c>
      <c r="N14" s="35"/>
      <c r="O14" s="36"/>
      <c r="P14" s="161"/>
      <c r="Q14" s="16"/>
      <c r="R14" s="163"/>
      <c r="S14" s="1" t="s">
        <v>315</v>
      </c>
    </row>
    <row r="15" spans="1:23" ht="15" customHeight="1" x14ac:dyDescent="0.3">
      <c r="A15" s="13"/>
      <c r="B15" s="14"/>
      <c r="C15" s="15"/>
      <c r="D15" s="26"/>
      <c r="E15" s="47" t="s">
        <v>37</v>
      </c>
      <c r="F15" s="26">
        <f>2%*D14</f>
        <v>16.5564</v>
      </c>
      <c r="G15" s="26">
        <f>3%*D14</f>
        <v>24.834600000000002</v>
      </c>
      <c r="H15" s="26">
        <f t="shared" ref="H15:H17" si="1">SUM(F15:G15)</f>
        <v>41.391000000000005</v>
      </c>
      <c r="I15" s="19">
        <v>0</v>
      </c>
      <c r="J15" s="19"/>
      <c r="K15" s="19">
        <v>5</v>
      </c>
      <c r="L15" s="19">
        <v>2</v>
      </c>
      <c r="M15" s="20">
        <f t="shared" si="0"/>
        <v>7</v>
      </c>
      <c r="N15" s="35"/>
      <c r="O15" s="36"/>
      <c r="P15" s="161"/>
      <c r="Q15" s="16"/>
      <c r="S15" s="1" t="s">
        <v>312</v>
      </c>
      <c r="T15" s="150" t="s">
        <v>111</v>
      </c>
      <c r="U15" s="1" t="s">
        <v>313</v>
      </c>
      <c r="V15" s="1" t="s">
        <v>316</v>
      </c>
      <c r="W15" s="1" t="s">
        <v>317</v>
      </c>
    </row>
    <row r="16" spans="1:23" ht="18.75" customHeight="1" x14ac:dyDescent="0.3">
      <c r="A16" s="13"/>
      <c r="B16" s="14"/>
      <c r="C16" s="15"/>
      <c r="D16" s="26"/>
      <c r="E16" s="47" t="s">
        <v>38</v>
      </c>
      <c r="F16" s="26">
        <f>3%*D14</f>
        <v>24.834600000000002</v>
      </c>
      <c r="G16" s="26">
        <f>4%*D14</f>
        <v>33.1128</v>
      </c>
      <c r="H16" s="26">
        <f t="shared" si="1"/>
        <v>57.947400000000002</v>
      </c>
      <c r="I16" s="19">
        <v>0</v>
      </c>
      <c r="J16" s="19"/>
      <c r="K16" s="19">
        <v>5</v>
      </c>
      <c r="L16" s="19">
        <v>2</v>
      </c>
      <c r="M16" s="20">
        <f t="shared" si="0"/>
        <v>7</v>
      </c>
      <c r="N16" s="35"/>
      <c r="O16" s="36"/>
      <c r="P16" s="161"/>
      <c r="Q16" s="16"/>
      <c r="S16" s="1" t="s">
        <v>314</v>
      </c>
      <c r="T16" s="150" t="s">
        <v>111</v>
      </c>
    </row>
    <row r="17" spans="1:22" ht="25.5" customHeight="1" x14ac:dyDescent="0.3">
      <c r="A17" s="54"/>
      <c r="B17" s="55"/>
      <c r="C17" s="56"/>
      <c r="D17" s="57"/>
      <c r="E17" s="58" t="s">
        <v>39</v>
      </c>
      <c r="F17" s="119">
        <f>3%*D14</f>
        <v>24.834600000000002</v>
      </c>
      <c r="G17" s="119">
        <f>10%*D14</f>
        <v>82.782000000000011</v>
      </c>
      <c r="H17" s="119">
        <f t="shared" si="1"/>
        <v>107.61660000000001</v>
      </c>
      <c r="I17" s="59">
        <v>0</v>
      </c>
      <c r="J17" s="59">
        <v>0</v>
      </c>
      <c r="K17" s="59">
        <v>0</v>
      </c>
      <c r="L17" s="59">
        <v>2</v>
      </c>
      <c r="M17" s="60">
        <f t="shared" si="0"/>
        <v>2</v>
      </c>
      <c r="N17" s="42"/>
      <c r="O17" s="38"/>
      <c r="P17" s="161"/>
      <c r="Q17" s="29"/>
      <c r="S17" s="1">
        <v>400</v>
      </c>
      <c r="T17" s="150" t="s">
        <v>316</v>
      </c>
      <c r="U17" s="1">
        <v>20.9</v>
      </c>
      <c r="V17" s="2">
        <f>S17*U17</f>
        <v>8360</v>
      </c>
    </row>
    <row r="18" spans="1:22" ht="15" customHeight="1" x14ac:dyDescent="0.3">
      <c r="A18" s="54"/>
      <c r="B18" s="55" t="s">
        <v>59</v>
      </c>
      <c r="C18" s="56" t="s">
        <v>27</v>
      </c>
      <c r="D18" s="18">
        <v>113.45</v>
      </c>
      <c r="E18" s="47" t="s">
        <v>36</v>
      </c>
      <c r="F18" s="26">
        <f>56%*D18</f>
        <v>63.532000000000011</v>
      </c>
      <c r="G18" s="26">
        <f>5%*D18</f>
        <v>5.6725000000000003</v>
      </c>
      <c r="H18" s="26">
        <f>SUM(F18:G18)</f>
        <v>69.20450000000001</v>
      </c>
      <c r="I18" s="19">
        <v>0</v>
      </c>
      <c r="J18" s="19"/>
      <c r="K18" s="19">
        <v>4</v>
      </c>
      <c r="L18" s="19">
        <v>0</v>
      </c>
      <c r="M18" s="20">
        <f t="shared" ref="M18:M20" si="2">SUM(I18:L18)</f>
        <v>4</v>
      </c>
      <c r="N18" s="42"/>
      <c r="O18" s="38"/>
      <c r="P18" s="161"/>
      <c r="Q18" s="29"/>
    </row>
    <row r="19" spans="1:22" ht="18.75" customHeight="1" x14ac:dyDescent="0.3">
      <c r="A19" s="54"/>
      <c r="B19" s="55"/>
      <c r="C19" s="56"/>
      <c r="D19" s="26"/>
      <c r="E19" s="47" t="s">
        <v>37</v>
      </c>
      <c r="F19" s="26">
        <f>4%*D18</f>
        <v>4.5380000000000003</v>
      </c>
      <c r="G19" s="26">
        <f>4%*D18</f>
        <v>4.5380000000000003</v>
      </c>
      <c r="H19" s="26">
        <f t="shared" ref="H19:H20" si="3">SUM(F19:G19)</f>
        <v>9.0760000000000005</v>
      </c>
      <c r="I19" s="19">
        <v>0</v>
      </c>
      <c r="J19" s="19"/>
      <c r="K19" s="19">
        <v>4</v>
      </c>
      <c r="L19" s="19">
        <v>0</v>
      </c>
      <c r="M19" s="20">
        <f t="shared" si="2"/>
        <v>4</v>
      </c>
      <c r="N19" s="42"/>
      <c r="O19" s="38"/>
      <c r="P19" s="161"/>
      <c r="Q19" s="29"/>
      <c r="T19" s="2">
        <f>400*20.9*70000</f>
        <v>585200000</v>
      </c>
    </row>
    <row r="20" spans="1:22" ht="18.75" customHeight="1" x14ac:dyDescent="0.3">
      <c r="A20" s="54"/>
      <c r="B20" s="55"/>
      <c r="C20" s="56"/>
      <c r="D20" s="26"/>
      <c r="E20" s="47" t="s">
        <v>38</v>
      </c>
      <c r="F20" s="26">
        <f>4%*D18</f>
        <v>4.5380000000000003</v>
      </c>
      <c r="G20" s="26">
        <f>40%*D18</f>
        <v>45.38</v>
      </c>
      <c r="H20" s="26">
        <f t="shared" si="3"/>
        <v>49.918000000000006</v>
      </c>
      <c r="I20" s="19">
        <v>0</v>
      </c>
      <c r="J20" s="19"/>
      <c r="K20" s="19">
        <v>4</v>
      </c>
      <c r="L20" s="19">
        <v>0</v>
      </c>
      <c r="M20" s="20">
        <f t="shared" si="2"/>
        <v>4</v>
      </c>
      <c r="N20" s="42"/>
      <c r="O20" s="38"/>
      <c r="P20" s="161"/>
      <c r="Q20" s="29"/>
    </row>
    <row r="21" spans="1:22" ht="22.5" customHeight="1" x14ac:dyDescent="0.3">
      <c r="A21" s="13"/>
      <c r="B21" s="17" t="s">
        <v>60</v>
      </c>
      <c r="C21" s="15" t="s">
        <v>42</v>
      </c>
      <c r="D21" s="18">
        <v>526.28</v>
      </c>
      <c r="E21" s="47" t="s">
        <v>36</v>
      </c>
      <c r="F21" s="26">
        <f>56%*D18</f>
        <v>63.532000000000011</v>
      </c>
      <c r="G21" s="26">
        <f>5%*D21</f>
        <v>26.314</v>
      </c>
      <c r="H21" s="26">
        <f>SUM(F21:G21)</f>
        <v>89.846000000000004</v>
      </c>
      <c r="I21" s="19">
        <v>0</v>
      </c>
      <c r="J21" s="19"/>
      <c r="K21" s="19">
        <v>4</v>
      </c>
      <c r="L21" s="19">
        <v>0</v>
      </c>
      <c r="M21" s="20">
        <f t="shared" si="0"/>
        <v>4</v>
      </c>
      <c r="N21" s="35"/>
      <c r="O21" s="36"/>
      <c r="P21" s="161"/>
      <c r="Q21" s="29"/>
    </row>
    <row r="22" spans="1:22" ht="22.5" customHeight="1" x14ac:dyDescent="0.3">
      <c r="A22" s="13"/>
      <c r="B22" s="14"/>
      <c r="C22" s="15"/>
      <c r="D22" s="26"/>
      <c r="E22" s="47" t="s">
        <v>37</v>
      </c>
      <c r="F22" s="26">
        <f>4%*D21</f>
        <v>21.051199999999998</v>
      </c>
      <c r="G22" s="26">
        <f>4%*D21</f>
        <v>21.051199999999998</v>
      </c>
      <c r="H22" s="26">
        <f t="shared" ref="H22:H23" si="4">SUM(F22:G22)</f>
        <v>42.102399999999996</v>
      </c>
      <c r="I22" s="19">
        <v>0</v>
      </c>
      <c r="J22" s="19"/>
      <c r="K22" s="19">
        <v>4</v>
      </c>
      <c r="L22" s="19">
        <v>0</v>
      </c>
      <c r="M22" s="20">
        <f t="shared" si="0"/>
        <v>4</v>
      </c>
      <c r="N22" s="35"/>
      <c r="O22" s="36"/>
      <c r="P22" s="161"/>
      <c r="Q22" s="29"/>
    </row>
    <row r="23" spans="1:22" ht="19.5" customHeight="1" x14ac:dyDescent="0.3">
      <c r="A23" s="13"/>
      <c r="B23" s="14"/>
      <c r="C23" s="15"/>
      <c r="D23" s="26"/>
      <c r="E23" s="47" t="s">
        <v>38</v>
      </c>
      <c r="F23" s="26">
        <f>4%*D21</f>
        <v>21.051199999999998</v>
      </c>
      <c r="G23" s="26">
        <f>40%*D21</f>
        <v>210.512</v>
      </c>
      <c r="H23" s="26">
        <f t="shared" si="4"/>
        <v>231.56319999999999</v>
      </c>
      <c r="I23" s="19">
        <v>0</v>
      </c>
      <c r="J23" s="19"/>
      <c r="K23" s="19">
        <v>4</v>
      </c>
      <c r="L23" s="19">
        <v>0</v>
      </c>
      <c r="M23" s="20">
        <f t="shared" si="0"/>
        <v>4</v>
      </c>
      <c r="N23" s="80"/>
      <c r="O23" s="81"/>
      <c r="P23" s="161"/>
      <c r="Q23" s="88"/>
    </row>
    <row r="24" spans="1:22" ht="21.75" customHeight="1" x14ac:dyDescent="0.3">
      <c r="A24" s="89"/>
      <c r="B24" s="402" t="s">
        <v>325</v>
      </c>
      <c r="C24" s="403"/>
      <c r="D24" s="73">
        <f>SUM(D9:D17)</f>
        <v>1245.8800000000001</v>
      </c>
      <c r="E24" s="74"/>
      <c r="F24" s="118">
        <f>SUM(F9:F17)</f>
        <v>312.46600000000007</v>
      </c>
      <c r="G24" s="118">
        <f>SUM(G9:G17)</f>
        <v>215.6482</v>
      </c>
      <c r="H24" s="118">
        <f>SUM(H9:H17)</f>
        <v>528.11419999999998</v>
      </c>
      <c r="I24" s="75">
        <f>SUM(I9:I17)</f>
        <v>0</v>
      </c>
      <c r="J24" s="75">
        <f>SUM(J9:J17)</f>
        <v>0</v>
      </c>
      <c r="K24" s="75">
        <f>SUM(K8:K23)</f>
        <v>51</v>
      </c>
      <c r="L24" s="160">
        <f>SUM(L10:L23)</f>
        <v>15</v>
      </c>
      <c r="M24" s="75">
        <f>SUM(M9:M17)</f>
        <v>42</v>
      </c>
      <c r="N24" s="76"/>
      <c r="O24" s="77"/>
      <c r="P24" s="162">
        <f>SUM(P10:P23)</f>
        <v>0</v>
      </c>
      <c r="Q24" s="75"/>
      <c r="R24" s="164">
        <f>40%*S24</f>
        <v>13953856000.000004</v>
      </c>
      <c r="S24" s="2">
        <f>D24*400*70000</f>
        <v>34884640000.000008</v>
      </c>
      <c r="T24" s="163">
        <f>S24-P24</f>
        <v>34884640000.000008</v>
      </c>
    </row>
    <row r="25" spans="1:22" ht="18" customHeight="1" x14ac:dyDescent="0.3">
      <c r="A25" s="63">
        <v>2</v>
      </c>
      <c r="B25" s="64" t="s">
        <v>23</v>
      </c>
      <c r="C25" s="65"/>
      <c r="D25" s="66"/>
      <c r="E25" s="67"/>
      <c r="F25" s="68"/>
      <c r="G25" s="68"/>
      <c r="H25" s="68"/>
      <c r="I25" s="68"/>
      <c r="J25" s="68"/>
      <c r="K25" s="68"/>
      <c r="L25" s="68"/>
      <c r="M25" s="68"/>
      <c r="N25" s="69"/>
      <c r="O25" s="70"/>
      <c r="P25" s="70"/>
      <c r="Q25" s="68"/>
      <c r="T25" s="1" t="s">
        <v>289</v>
      </c>
      <c r="U25" s="1" t="s">
        <v>295</v>
      </c>
      <c r="V25" s="1" t="s">
        <v>296</v>
      </c>
    </row>
    <row r="26" spans="1:22" ht="21.75" customHeight="1" x14ac:dyDescent="0.3">
      <c r="A26" s="13"/>
      <c r="B26" s="14" t="s">
        <v>57</v>
      </c>
      <c r="C26" s="15" t="s">
        <v>22</v>
      </c>
      <c r="D26" s="26">
        <v>202.18</v>
      </c>
      <c r="E26" s="47" t="s">
        <v>40</v>
      </c>
      <c r="F26" s="19">
        <v>0</v>
      </c>
      <c r="G26" s="19">
        <f>3%*D26</f>
        <v>6.0654000000000003</v>
      </c>
      <c r="H26" s="19">
        <f t="shared" ref="H26" si="5">SUM(F26:G26)</f>
        <v>6.0654000000000003</v>
      </c>
      <c r="I26" s="19">
        <v>0</v>
      </c>
      <c r="J26" s="19">
        <v>0</v>
      </c>
      <c r="K26" s="19">
        <v>5</v>
      </c>
      <c r="L26" s="19">
        <v>0</v>
      </c>
      <c r="M26" s="20">
        <f t="shared" ref="M26" si="6">SUM(I26:L26)</f>
        <v>5</v>
      </c>
      <c r="N26" s="37" t="s">
        <v>51</v>
      </c>
      <c r="O26" s="404" t="s">
        <v>275</v>
      </c>
      <c r="P26" s="161"/>
      <c r="Q26" s="16"/>
      <c r="S26" s="1" t="s">
        <v>293</v>
      </c>
      <c r="T26" s="1" t="s">
        <v>294</v>
      </c>
      <c r="U26" s="1">
        <v>1600</v>
      </c>
      <c r="V26" s="1">
        <v>400</v>
      </c>
    </row>
    <row r="27" spans="1:22" ht="31.5" customHeight="1" x14ac:dyDescent="0.3">
      <c r="A27" s="54"/>
      <c r="B27" s="55"/>
      <c r="C27" s="56"/>
      <c r="D27" s="57"/>
      <c r="E27" s="58" t="s">
        <v>251</v>
      </c>
      <c r="F27" s="79"/>
      <c r="G27" s="79">
        <f>1.25%*D26</f>
        <v>2.5272500000000004</v>
      </c>
      <c r="H27" s="79">
        <f>F27+G27</f>
        <v>2.5272500000000004</v>
      </c>
      <c r="I27" s="79"/>
      <c r="J27" s="79"/>
      <c r="K27" s="79"/>
      <c r="L27" s="79"/>
      <c r="M27" s="86"/>
      <c r="N27" s="37"/>
      <c r="O27" s="404"/>
      <c r="P27" s="161"/>
      <c r="Q27" s="16"/>
    </row>
    <row r="28" spans="1:22" ht="21.75" customHeight="1" x14ac:dyDescent="0.3">
      <c r="A28" s="54"/>
      <c r="B28" s="55" t="s">
        <v>58</v>
      </c>
      <c r="C28" s="56" t="s">
        <v>42</v>
      </c>
      <c r="D28" s="57">
        <v>55</v>
      </c>
      <c r="E28" s="47" t="s">
        <v>40</v>
      </c>
      <c r="F28" s="19">
        <v>0</v>
      </c>
      <c r="G28" s="19">
        <f>10%*D28</f>
        <v>5.5</v>
      </c>
      <c r="H28" s="19">
        <f t="shared" ref="H28" si="7">SUM(F28:G28)</f>
        <v>5.5</v>
      </c>
      <c r="I28" s="19">
        <v>0</v>
      </c>
      <c r="J28" s="19"/>
      <c r="K28" s="19">
        <v>4</v>
      </c>
      <c r="L28" s="19">
        <v>0</v>
      </c>
      <c r="M28" s="20">
        <f t="shared" ref="M28" si="8">SUM(I28:L28)</f>
        <v>4</v>
      </c>
      <c r="N28" s="37"/>
      <c r="O28" s="404"/>
      <c r="P28" s="161"/>
      <c r="Q28" s="16"/>
      <c r="R28" s="1" t="s">
        <v>333</v>
      </c>
      <c r="S28" s="1" t="s">
        <v>334</v>
      </c>
    </row>
    <row r="29" spans="1:22" ht="22.5" customHeight="1" x14ac:dyDescent="0.3">
      <c r="A29" s="54"/>
      <c r="B29" s="55"/>
      <c r="C29" s="56"/>
      <c r="D29" s="57"/>
      <c r="E29" s="85" t="s">
        <v>250</v>
      </c>
      <c r="F29" s="79"/>
      <c r="G29" s="79">
        <f>1.25%*D28</f>
        <v>0.6875</v>
      </c>
      <c r="H29" s="79">
        <f>F29+G29</f>
        <v>0.6875</v>
      </c>
      <c r="I29" s="79"/>
      <c r="J29" s="79"/>
      <c r="K29" s="79"/>
      <c r="L29" s="79"/>
      <c r="M29" s="86"/>
      <c r="N29" s="37"/>
      <c r="O29" s="404"/>
      <c r="P29" s="161"/>
      <c r="Q29" s="16"/>
    </row>
    <row r="30" spans="1:22" ht="18.75" customHeight="1" x14ac:dyDescent="0.3">
      <c r="A30" s="54"/>
      <c r="B30" s="55" t="s">
        <v>59</v>
      </c>
      <c r="C30" s="56" t="s">
        <v>21</v>
      </c>
      <c r="D30" s="57">
        <v>66.94</v>
      </c>
      <c r="E30" s="47" t="s">
        <v>40</v>
      </c>
      <c r="F30" s="19">
        <v>0</v>
      </c>
      <c r="G30" s="19">
        <f>5%*D30</f>
        <v>3.347</v>
      </c>
      <c r="H30" s="19">
        <f t="shared" ref="H30" si="9">SUM(F30:G30)</f>
        <v>3.347</v>
      </c>
      <c r="I30" s="19">
        <v>0</v>
      </c>
      <c r="J30" s="19">
        <v>0</v>
      </c>
      <c r="K30" s="19">
        <v>2</v>
      </c>
      <c r="L30" s="19">
        <v>1</v>
      </c>
      <c r="M30" s="20">
        <f t="shared" ref="M30" si="10">SUM(I30:L30)</f>
        <v>3</v>
      </c>
      <c r="N30" s="95"/>
      <c r="O30" s="399"/>
      <c r="P30" s="161"/>
      <c r="Q30" s="87"/>
    </row>
    <row r="31" spans="1:22" ht="19.5" customHeight="1" x14ac:dyDescent="0.3">
      <c r="A31" s="89"/>
      <c r="B31" s="402" t="s">
        <v>326</v>
      </c>
      <c r="C31" s="403"/>
      <c r="D31" s="73">
        <f>SUM(D25:D30)</f>
        <v>324.12</v>
      </c>
      <c r="E31" s="74"/>
      <c r="F31" s="83">
        <f t="shared" ref="F31:K31" si="11">SUM(F25:F30)</f>
        <v>0</v>
      </c>
      <c r="G31" s="83">
        <f t="shared" si="11"/>
        <v>18.12715</v>
      </c>
      <c r="H31" s="83">
        <f t="shared" si="11"/>
        <v>18.12715</v>
      </c>
      <c r="I31" s="83">
        <f t="shared" si="11"/>
        <v>0</v>
      </c>
      <c r="J31" s="83">
        <f t="shared" si="11"/>
        <v>0</v>
      </c>
      <c r="K31" s="83">
        <f t="shared" si="11"/>
        <v>11</v>
      </c>
      <c r="L31" s="83"/>
      <c r="M31" s="83">
        <f>SUM(M25:M30)</f>
        <v>12</v>
      </c>
      <c r="N31" s="76"/>
      <c r="O31" s="77"/>
      <c r="P31" s="162"/>
      <c r="Q31" s="75"/>
      <c r="R31" s="2">
        <f>P31/D31</f>
        <v>0</v>
      </c>
    </row>
    <row r="32" spans="1:22" ht="15" customHeight="1" x14ac:dyDescent="0.3">
      <c r="A32" s="63">
        <v>3</v>
      </c>
      <c r="B32" s="64" t="s">
        <v>19</v>
      </c>
      <c r="C32" s="65"/>
      <c r="D32" s="66"/>
      <c r="E32" s="67"/>
      <c r="F32" s="82"/>
      <c r="G32" s="82"/>
      <c r="H32" s="82"/>
      <c r="I32" s="82"/>
      <c r="J32" s="82"/>
      <c r="K32" s="82"/>
      <c r="L32" s="82"/>
      <c r="M32" s="82"/>
      <c r="N32" s="69"/>
      <c r="O32" s="70"/>
      <c r="P32" s="70"/>
      <c r="Q32" s="68"/>
      <c r="T32" s="1" t="s">
        <v>289</v>
      </c>
      <c r="U32" s="1" t="s">
        <v>291</v>
      </c>
      <c r="V32" s="1" t="s">
        <v>299</v>
      </c>
    </row>
    <row r="33" spans="1:22" ht="15.75" customHeight="1" x14ac:dyDescent="0.3">
      <c r="A33" s="13"/>
      <c r="B33" s="14" t="s">
        <v>57</v>
      </c>
      <c r="C33" s="15" t="s">
        <v>24</v>
      </c>
      <c r="D33" s="26">
        <f>1372.4+494</f>
        <v>1866.4</v>
      </c>
      <c r="E33" s="50" t="s">
        <v>52</v>
      </c>
      <c r="F33" s="19">
        <v>0</v>
      </c>
      <c r="G33" s="26">
        <f>27%*D33</f>
        <v>503.92800000000005</v>
      </c>
      <c r="H33" s="26">
        <f>SUM(F33:G33)</f>
        <v>503.92800000000005</v>
      </c>
      <c r="I33" s="19">
        <v>0</v>
      </c>
      <c r="J33" s="19"/>
      <c r="K33" s="19">
        <v>10</v>
      </c>
      <c r="L33" s="19">
        <v>10</v>
      </c>
      <c r="M33" s="19">
        <f>SUM(I33:L33)</f>
        <v>20</v>
      </c>
      <c r="N33" s="35" t="s">
        <v>262</v>
      </c>
      <c r="O33" s="43"/>
      <c r="P33" s="161">
        <f t="shared" ref="P33:P62" si="12">G33*0.815*26%*4000000</f>
        <v>427129372.80000001</v>
      </c>
      <c r="Q33" s="16"/>
      <c r="S33" s="1" t="s">
        <v>297</v>
      </c>
      <c r="T33" s="1" t="s">
        <v>298</v>
      </c>
      <c r="U33" s="1">
        <v>143</v>
      </c>
      <c r="V33" s="1">
        <v>143</v>
      </c>
    </row>
    <row r="34" spans="1:22" ht="25.5" customHeight="1" x14ac:dyDescent="0.3">
      <c r="A34" s="13"/>
      <c r="B34" s="14"/>
      <c r="C34" s="15"/>
      <c r="D34" s="26"/>
      <c r="E34" s="49" t="s">
        <v>234</v>
      </c>
      <c r="F34" s="26"/>
      <c r="G34" s="26">
        <f>27%*D33</f>
        <v>503.92800000000005</v>
      </c>
      <c r="H34" s="26">
        <f>F34+G34</f>
        <v>503.92800000000005</v>
      </c>
      <c r="I34" s="19"/>
      <c r="J34" s="19"/>
      <c r="K34" s="19"/>
      <c r="L34" s="19"/>
      <c r="M34" s="19"/>
      <c r="N34" s="35" t="s">
        <v>263</v>
      </c>
      <c r="O34" s="43"/>
      <c r="P34" s="161">
        <f t="shared" si="12"/>
        <v>427129372.80000001</v>
      </c>
      <c r="Q34" s="16"/>
      <c r="S34" s="1">
        <v>1300</v>
      </c>
    </row>
    <row r="35" spans="1:22" ht="18.75" customHeight="1" x14ac:dyDescent="0.3">
      <c r="A35" s="13"/>
      <c r="B35" s="14" t="s">
        <v>58</v>
      </c>
      <c r="C35" s="15" t="s">
        <v>25</v>
      </c>
      <c r="D35" s="26">
        <f>994.7+363.2</f>
        <v>1357.9</v>
      </c>
      <c r="E35" s="50" t="s">
        <v>52</v>
      </c>
      <c r="F35" s="19">
        <v>0</v>
      </c>
      <c r="G35" s="26">
        <f>16%*D35</f>
        <v>217.26400000000001</v>
      </c>
      <c r="H35" s="26">
        <f t="shared" ref="H35:H61" si="13">SUM(F35:G35)</f>
        <v>217.26400000000001</v>
      </c>
      <c r="I35" s="19">
        <v>0</v>
      </c>
      <c r="J35" s="19"/>
      <c r="K35" s="19">
        <v>6</v>
      </c>
      <c r="L35" s="19">
        <v>10</v>
      </c>
      <c r="M35" s="19">
        <f t="shared" ref="M35:M62" si="14">SUM(I35:L35)</f>
        <v>16</v>
      </c>
      <c r="N35" s="35" t="s">
        <v>264</v>
      </c>
      <c r="O35" s="43"/>
      <c r="P35" s="161">
        <f t="shared" si="12"/>
        <v>184152966.40000001</v>
      </c>
      <c r="Q35" s="16"/>
      <c r="R35" s="2">
        <v>1500</v>
      </c>
      <c r="S35" s="1">
        <v>100</v>
      </c>
    </row>
    <row r="36" spans="1:22" ht="17.25" customHeight="1" x14ac:dyDescent="0.3">
      <c r="A36" s="13"/>
      <c r="B36" s="14" t="s">
        <v>59</v>
      </c>
      <c r="C36" s="15" t="s">
        <v>26</v>
      </c>
      <c r="D36" s="26">
        <f>976.5+338</f>
        <v>1314.5</v>
      </c>
      <c r="E36" s="50" t="s">
        <v>52</v>
      </c>
      <c r="F36" s="19">
        <v>0</v>
      </c>
      <c r="G36" s="26">
        <f>27%*D36</f>
        <v>354.91500000000002</v>
      </c>
      <c r="H36" s="26">
        <f t="shared" si="13"/>
        <v>354.91500000000002</v>
      </c>
      <c r="I36" s="19"/>
      <c r="J36" s="19"/>
      <c r="K36" s="19">
        <v>0</v>
      </c>
      <c r="L36" s="19">
        <v>0</v>
      </c>
      <c r="M36" s="19">
        <f t="shared" si="14"/>
        <v>0</v>
      </c>
      <c r="N36" s="35" t="s">
        <v>265</v>
      </c>
      <c r="O36" s="36" t="s">
        <v>266</v>
      </c>
      <c r="P36" s="161">
        <f t="shared" si="12"/>
        <v>300825953.99999994</v>
      </c>
      <c r="Q36" s="16"/>
      <c r="R36" s="165" t="s">
        <v>319</v>
      </c>
    </row>
    <row r="37" spans="1:22" ht="15" customHeight="1" x14ac:dyDescent="0.3">
      <c r="A37" s="13"/>
      <c r="B37" s="14" t="s">
        <v>60</v>
      </c>
      <c r="C37" s="15" t="s">
        <v>55</v>
      </c>
      <c r="D37" s="26">
        <f>291.6+46.93</f>
        <v>338.53000000000003</v>
      </c>
      <c r="E37" s="50" t="s">
        <v>52</v>
      </c>
      <c r="F37" s="19">
        <v>0</v>
      </c>
      <c r="G37" s="26">
        <f>28%*D37</f>
        <v>94.788400000000024</v>
      </c>
      <c r="H37" s="26">
        <f t="shared" si="13"/>
        <v>94.788400000000024</v>
      </c>
      <c r="I37" s="19">
        <v>0</v>
      </c>
      <c r="J37" s="19">
        <v>0</v>
      </c>
      <c r="K37" s="19">
        <v>0</v>
      </c>
      <c r="L37" s="19">
        <v>0</v>
      </c>
      <c r="M37" s="19">
        <f t="shared" si="14"/>
        <v>0</v>
      </c>
      <c r="N37" s="35"/>
      <c r="O37" s="36" t="s">
        <v>267</v>
      </c>
      <c r="P37" s="161">
        <f t="shared" si="12"/>
        <v>80342647.840000018</v>
      </c>
      <c r="Q37" s="16"/>
    </row>
    <row r="38" spans="1:22" ht="27" customHeight="1" x14ac:dyDescent="0.3">
      <c r="A38" s="13"/>
      <c r="B38" s="14"/>
      <c r="C38" s="15"/>
      <c r="D38" s="26"/>
      <c r="E38" s="49" t="s">
        <v>235</v>
      </c>
      <c r="F38" s="26">
        <f>4%*D37</f>
        <v>13.541200000000002</v>
      </c>
      <c r="G38" s="26">
        <f>19%*D37</f>
        <v>64.320700000000002</v>
      </c>
      <c r="H38" s="26">
        <f>SUM(F38:G38)</f>
        <v>77.861900000000006</v>
      </c>
      <c r="I38" s="19"/>
      <c r="J38" s="19"/>
      <c r="K38" s="19">
        <v>5</v>
      </c>
      <c r="L38" s="19"/>
      <c r="M38" s="19">
        <f>SUM(I38:L38)</f>
        <v>5</v>
      </c>
      <c r="N38" s="35"/>
      <c r="O38" s="36" t="s">
        <v>268</v>
      </c>
      <c r="P38" s="161">
        <f t="shared" si="12"/>
        <v>54518225.320000008</v>
      </c>
      <c r="Q38" s="16"/>
    </row>
    <row r="39" spans="1:22" ht="27.75" customHeight="1" x14ac:dyDescent="0.3">
      <c r="A39" s="13"/>
      <c r="B39" s="14"/>
      <c r="C39" s="15"/>
      <c r="D39" s="26"/>
      <c r="E39" s="49" t="s">
        <v>234</v>
      </c>
      <c r="F39" s="26"/>
      <c r="G39" s="26">
        <f>20%*D37</f>
        <v>67.706000000000003</v>
      </c>
      <c r="H39" s="26">
        <f>F39+G39</f>
        <v>67.706000000000003</v>
      </c>
      <c r="I39" s="19"/>
      <c r="J39" s="19"/>
      <c r="K39" s="19">
        <v>5</v>
      </c>
      <c r="L39" s="19"/>
      <c r="M39" s="19">
        <f>SUM(I39:L39)</f>
        <v>5</v>
      </c>
      <c r="N39" s="35"/>
      <c r="O39" s="36" t="s">
        <v>269</v>
      </c>
      <c r="P39" s="161">
        <f t="shared" si="12"/>
        <v>57387605.600000001</v>
      </c>
      <c r="Q39" s="16"/>
      <c r="R39" s="1" t="s">
        <v>335</v>
      </c>
      <c r="S39" s="1" t="s">
        <v>336</v>
      </c>
    </row>
    <row r="40" spans="1:22" ht="14.25" customHeight="1" x14ac:dyDescent="0.3">
      <c r="A40" s="13"/>
      <c r="B40" s="14" t="s">
        <v>61</v>
      </c>
      <c r="C40" s="15" t="s">
        <v>27</v>
      </c>
      <c r="D40" s="26">
        <f>831.5+161.25</f>
        <v>992.75</v>
      </c>
      <c r="E40" s="50" t="s">
        <v>52</v>
      </c>
      <c r="F40" s="19">
        <v>0</v>
      </c>
      <c r="G40" s="26">
        <f>21%*D40</f>
        <v>208.47749999999999</v>
      </c>
      <c r="H40" s="26">
        <f t="shared" si="13"/>
        <v>208.47749999999999</v>
      </c>
      <c r="I40" s="19">
        <v>0</v>
      </c>
      <c r="J40" s="19">
        <v>0</v>
      </c>
      <c r="K40" s="19">
        <v>0</v>
      </c>
      <c r="L40" s="19">
        <v>0</v>
      </c>
      <c r="M40" s="19">
        <f t="shared" si="14"/>
        <v>0</v>
      </c>
      <c r="N40" s="35"/>
      <c r="O40" s="36" t="s">
        <v>270</v>
      </c>
      <c r="P40" s="161">
        <f t="shared" si="12"/>
        <v>176705528.99999997</v>
      </c>
      <c r="Q40" s="16"/>
    </row>
    <row r="41" spans="1:22" ht="18.75" customHeight="1" x14ac:dyDescent="0.3">
      <c r="A41" s="13"/>
      <c r="B41" s="14" t="s">
        <v>62</v>
      </c>
      <c r="C41" s="15" t="s">
        <v>28</v>
      </c>
      <c r="D41" s="26">
        <f>868+618.6</f>
        <v>1486.6</v>
      </c>
      <c r="E41" s="50" t="s">
        <v>52</v>
      </c>
      <c r="F41" s="19">
        <v>0</v>
      </c>
      <c r="G41" s="26">
        <f>20%*D41</f>
        <v>297.32</v>
      </c>
      <c r="H41" s="26">
        <f t="shared" si="13"/>
        <v>297.32</v>
      </c>
      <c r="I41" s="19">
        <v>0</v>
      </c>
      <c r="J41" s="19">
        <v>0</v>
      </c>
      <c r="K41" s="19">
        <v>0</v>
      </c>
      <c r="L41" s="19">
        <v>0</v>
      </c>
      <c r="M41" s="19">
        <f t="shared" si="14"/>
        <v>0</v>
      </c>
      <c r="N41" s="35"/>
      <c r="O41" s="43"/>
      <c r="P41" s="161">
        <f t="shared" si="12"/>
        <v>252008431.99999997</v>
      </c>
      <c r="Q41" s="16"/>
    </row>
    <row r="42" spans="1:22" ht="18" customHeight="1" x14ac:dyDescent="0.3">
      <c r="A42" s="13"/>
      <c r="B42" s="14" t="s">
        <v>63</v>
      </c>
      <c r="C42" s="15" t="s">
        <v>29</v>
      </c>
      <c r="D42" s="26">
        <f>1546+278.5</f>
        <v>1824.5</v>
      </c>
      <c r="E42" s="50" t="s">
        <v>52</v>
      </c>
      <c r="F42" s="19">
        <v>0</v>
      </c>
      <c r="G42" s="26">
        <f>23%*D42</f>
        <v>419.63499999999999</v>
      </c>
      <c r="H42" s="26">
        <f t="shared" si="13"/>
        <v>419.63499999999999</v>
      </c>
      <c r="I42" s="19">
        <v>0</v>
      </c>
      <c r="J42" s="19">
        <v>0</v>
      </c>
      <c r="K42" s="19">
        <v>0</v>
      </c>
      <c r="L42" s="19">
        <v>0</v>
      </c>
      <c r="M42" s="19">
        <f t="shared" si="14"/>
        <v>0</v>
      </c>
      <c r="N42" s="35"/>
      <c r="O42" s="43"/>
      <c r="P42" s="161">
        <f t="shared" si="12"/>
        <v>355682626</v>
      </c>
      <c r="Q42" s="16"/>
    </row>
    <row r="43" spans="1:22" ht="18.75" customHeight="1" x14ac:dyDescent="0.3">
      <c r="A43" s="13"/>
      <c r="B43" s="14" t="s">
        <v>64</v>
      </c>
      <c r="C43" s="15" t="s">
        <v>56</v>
      </c>
      <c r="D43" s="26">
        <f>156.4+34.9</f>
        <v>191.3</v>
      </c>
      <c r="E43" s="50" t="s">
        <v>52</v>
      </c>
      <c r="F43" s="19">
        <v>0</v>
      </c>
      <c r="G43" s="26">
        <f>16%*D43</f>
        <v>30.608000000000004</v>
      </c>
      <c r="H43" s="26">
        <f t="shared" si="13"/>
        <v>30.608000000000004</v>
      </c>
      <c r="I43" s="19">
        <v>0</v>
      </c>
      <c r="J43" s="19"/>
      <c r="K43" s="19">
        <v>5</v>
      </c>
      <c r="L43" s="19">
        <v>0</v>
      </c>
      <c r="M43" s="19">
        <f t="shared" si="14"/>
        <v>5</v>
      </c>
      <c r="N43" s="35"/>
      <c r="O43" s="43"/>
      <c r="P43" s="161">
        <f t="shared" si="12"/>
        <v>25943340.800000001</v>
      </c>
      <c r="Q43" s="16"/>
    </row>
    <row r="44" spans="1:22" ht="15" customHeight="1" x14ac:dyDescent="0.3">
      <c r="A44" s="13"/>
      <c r="B44" s="14" t="s">
        <v>65</v>
      </c>
      <c r="C44" s="15" t="s">
        <v>30</v>
      </c>
      <c r="D44" s="26">
        <f>1499.7+565.1</f>
        <v>2064.8000000000002</v>
      </c>
      <c r="E44" s="50" t="s">
        <v>52</v>
      </c>
      <c r="F44" s="19">
        <v>0</v>
      </c>
      <c r="G44" s="26">
        <f>13%*D44</f>
        <v>268.42400000000004</v>
      </c>
      <c r="H44" s="26">
        <f t="shared" si="13"/>
        <v>268.42400000000004</v>
      </c>
      <c r="I44" s="19">
        <v>0</v>
      </c>
      <c r="J44" s="19">
        <v>0</v>
      </c>
      <c r="K44" s="19">
        <v>0</v>
      </c>
      <c r="L44" s="19">
        <v>0</v>
      </c>
      <c r="M44" s="19">
        <f t="shared" si="14"/>
        <v>0</v>
      </c>
      <c r="N44" s="35"/>
      <c r="O44" s="43"/>
      <c r="P44" s="161">
        <f t="shared" si="12"/>
        <v>227516182.40000001</v>
      </c>
      <c r="Q44" s="16"/>
    </row>
    <row r="45" spans="1:22" ht="14.25" customHeight="1" x14ac:dyDescent="0.3">
      <c r="A45" s="13"/>
      <c r="B45" s="14" t="s">
        <v>66</v>
      </c>
      <c r="C45" s="15" t="s">
        <v>31</v>
      </c>
      <c r="D45" s="26">
        <f>1207+389</f>
        <v>1596</v>
      </c>
      <c r="E45" s="50" t="s">
        <v>52</v>
      </c>
      <c r="F45" s="19">
        <v>0</v>
      </c>
      <c r="G45" s="26">
        <f>13%*D45</f>
        <v>207.48000000000002</v>
      </c>
      <c r="H45" s="26">
        <f t="shared" si="13"/>
        <v>207.48000000000002</v>
      </c>
      <c r="I45" s="19">
        <v>0</v>
      </c>
      <c r="J45" s="19">
        <v>0</v>
      </c>
      <c r="K45" s="19">
        <v>0</v>
      </c>
      <c r="L45" s="19">
        <v>0</v>
      </c>
      <c r="M45" s="19">
        <f t="shared" si="14"/>
        <v>0</v>
      </c>
      <c r="N45" s="35"/>
      <c r="O45" s="43"/>
      <c r="P45" s="161">
        <f t="shared" si="12"/>
        <v>175860048</v>
      </c>
      <c r="Q45" s="16"/>
    </row>
    <row r="46" spans="1:22" ht="14.25" customHeight="1" x14ac:dyDescent="0.3">
      <c r="A46" s="13"/>
      <c r="B46" s="14" t="s">
        <v>67</v>
      </c>
      <c r="C46" s="15" t="s">
        <v>32</v>
      </c>
      <c r="D46" s="26">
        <f>998.9+79.5</f>
        <v>1078.4000000000001</v>
      </c>
      <c r="E46" s="50" t="s">
        <v>52</v>
      </c>
      <c r="F46" s="19">
        <v>0</v>
      </c>
      <c r="G46" s="26">
        <f>18%*D46</f>
        <v>194.11200000000002</v>
      </c>
      <c r="H46" s="26">
        <f t="shared" si="13"/>
        <v>194.11200000000002</v>
      </c>
      <c r="I46" s="19">
        <v>0</v>
      </c>
      <c r="J46" s="19">
        <v>0</v>
      </c>
      <c r="K46" s="19">
        <v>0</v>
      </c>
      <c r="L46" s="19">
        <v>0</v>
      </c>
      <c r="M46" s="19">
        <f t="shared" si="14"/>
        <v>0</v>
      </c>
      <c r="N46" s="35"/>
      <c r="O46" s="43"/>
      <c r="P46" s="161">
        <f t="shared" si="12"/>
        <v>164529331.19999999</v>
      </c>
      <c r="Q46" s="16"/>
    </row>
    <row r="47" spans="1:22" ht="18.75" customHeight="1" x14ac:dyDescent="0.3">
      <c r="A47" s="13"/>
      <c r="B47" s="14" t="s">
        <v>68</v>
      </c>
      <c r="C47" s="15" t="s">
        <v>33</v>
      </c>
      <c r="D47" s="26">
        <f>1304+57.5</f>
        <v>1361.5</v>
      </c>
      <c r="E47" s="50" t="s">
        <v>52</v>
      </c>
      <c r="F47" s="19">
        <v>0</v>
      </c>
      <c r="G47" s="26">
        <f>19%*D47</f>
        <v>258.685</v>
      </c>
      <c r="H47" s="26">
        <f t="shared" si="13"/>
        <v>258.685</v>
      </c>
      <c r="I47" s="19">
        <v>0</v>
      </c>
      <c r="J47" s="19"/>
      <c r="K47" s="19">
        <v>0</v>
      </c>
      <c r="L47" s="19">
        <v>0</v>
      </c>
      <c r="M47" s="19">
        <f t="shared" si="14"/>
        <v>0</v>
      </c>
      <c r="N47" s="35"/>
      <c r="O47" s="43"/>
      <c r="P47" s="161">
        <f t="shared" si="12"/>
        <v>219261406</v>
      </c>
      <c r="Q47" s="16"/>
    </row>
    <row r="48" spans="1:22" ht="15.75" customHeight="1" x14ac:dyDescent="0.3">
      <c r="A48" s="13"/>
      <c r="B48" s="14" t="s">
        <v>69</v>
      </c>
      <c r="C48" s="15" t="s">
        <v>34</v>
      </c>
      <c r="D48" s="26">
        <f>1784.1+362</f>
        <v>2146.1</v>
      </c>
      <c r="E48" s="50" t="s">
        <v>52</v>
      </c>
      <c r="F48" s="19">
        <v>0</v>
      </c>
      <c r="G48" s="26">
        <f>28%*D48</f>
        <v>600.90800000000002</v>
      </c>
      <c r="H48" s="26">
        <f t="shared" si="13"/>
        <v>600.90800000000002</v>
      </c>
      <c r="I48" s="19">
        <v>0</v>
      </c>
      <c r="J48" s="19"/>
      <c r="K48" s="19">
        <v>1</v>
      </c>
      <c r="L48" s="19">
        <v>0</v>
      </c>
      <c r="M48" s="19">
        <f t="shared" si="14"/>
        <v>1</v>
      </c>
      <c r="N48" s="35"/>
      <c r="O48" s="43"/>
      <c r="P48" s="161">
        <f t="shared" si="12"/>
        <v>509329620.80000001</v>
      </c>
      <c r="Q48" s="16"/>
    </row>
    <row r="49" spans="1:22" ht="13.5" customHeight="1" x14ac:dyDescent="0.3">
      <c r="A49" s="13"/>
      <c r="B49" s="14" t="s">
        <v>70</v>
      </c>
      <c r="C49" s="15" t="s">
        <v>35</v>
      </c>
      <c r="D49" s="26">
        <f>1557+181.5</f>
        <v>1738.5</v>
      </c>
      <c r="E49" s="50" t="s">
        <v>52</v>
      </c>
      <c r="F49" s="19">
        <v>0</v>
      </c>
      <c r="G49" s="26">
        <f>23%*D49</f>
        <v>399.85500000000002</v>
      </c>
      <c r="H49" s="26">
        <f t="shared" si="13"/>
        <v>399.85500000000002</v>
      </c>
      <c r="I49" s="19">
        <v>0</v>
      </c>
      <c r="J49" s="19">
        <v>0</v>
      </c>
      <c r="K49" s="19">
        <v>0</v>
      </c>
      <c r="L49" s="19">
        <v>0</v>
      </c>
      <c r="M49" s="19">
        <f t="shared" si="14"/>
        <v>0</v>
      </c>
      <c r="N49" s="35"/>
      <c r="O49" s="43"/>
      <c r="P49" s="161">
        <f t="shared" si="12"/>
        <v>338917098</v>
      </c>
      <c r="Q49" s="16"/>
    </row>
    <row r="50" spans="1:22" ht="18.75" customHeight="1" x14ac:dyDescent="0.3">
      <c r="A50" s="13"/>
      <c r="B50" s="14" t="s">
        <v>71</v>
      </c>
      <c r="C50" s="15" t="s">
        <v>21</v>
      </c>
      <c r="D50" s="26">
        <f>1940+114</f>
        <v>2054</v>
      </c>
      <c r="E50" s="50" t="s">
        <v>52</v>
      </c>
      <c r="F50" s="19">
        <v>0</v>
      </c>
      <c r="G50" s="26">
        <f>28%*D50</f>
        <v>575.12</v>
      </c>
      <c r="H50" s="26">
        <f t="shared" si="13"/>
        <v>575.12</v>
      </c>
      <c r="I50" s="19">
        <v>0</v>
      </c>
      <c r="J50" s="19">
        <v>0</v>
      </c>
      <c r="K50" s="19">
        <v>0</v>
      </c>
      <c r="L50" s="19">
        <v>0</v>
      </c>
      <c r="M50" s="19">
        <f t="shared" si="14"/>
        <v>0</v>
      </c>
      <c r="N50" s="35"/>
      <c r="O50" s="43"/>
      <c r="P50" s="161">
        <f t="shared" si="12"/>
        <v>487471711.99999994</v>
      </c>
      <c r="Q50" s="16"/>
    </row>
    <row r="51" spans="1:22" ht="14.25" customHeight="1" x14ac:dyDescent="0.3">
      <c r="A51" s="13"/>
      <c r="B51" s="14" t="s">
        <v>72</v>
      </c>
      <c r="C51" s="15" t="s">
        <v>42</v>
      </c>
      <c r="D51" s="26">
        <f>773.1+303.8</f>
        <v>1076.9000000000001</v>
      </c>
      <c r="E51" s="50" t="s">
        <v>52</v>
      </c>
      <c r="F51" s="19">
        <v>0</v>
      </c>
      <c r="G51" s="26">
        <f>28%*D51</f>
        <v>301.53200000000004</v>
      </c>
      <c r="H51" s="26">
        <f t="shared" si="13"/>
        <v>301.53200000000004</v>
      </c>
      <c r="I51" s="19">
        <v>0</v>
      </c>
      <c r="J51" s="19">
        <v>0</v>
      </c>
      <c r="K51" s="19">
        <v>0</v>
      </c>
      <c r="L51" s="19">
        <v>0</v>
      </c>
      <c r="M51" s="19">
        <f t="shared" si="14"/>
        <v>0</v>
      </c>
      <c r="N51" s="35"/>
      <c r="O51" s="36"/>
      <c r="P51" s="161">
        <f t="shared" si="12"/>
        <v>255578523.20000002</v>
      </c>
      <c r="Q51" s="16"/>
    </row>
    <row r="52" spans="1:22" ht="18" customHeight="1" x14ac:dyDescent="0.3">
      <c r="A52" s="13"/>
      <c r="B52" s="14" t="s">
        <v>73</v>
      </c>
      <c r="C52" s="15" t="s">
        <v>105</v>
      </c>
      <c r="D52" s="26">
        <f>153.8+8.7</f>
        <v>162.5</v>
      </c>
      <c r="E52" s="50" t="s">
        <v>52</v>
      </c>
      <c r="F52" s="19">
        <v>0</v>
      </c>
      <c r="G52" s="26">
        <f>29%*D52</f>
        <v>47.125</v>
      </c>
      <c r="H52" s="26">
        <f t="shared" si="13"/>
        <v>47.125</v>
      </c>
      <c r="I52" s="19">
        <v>0</v>
      </c>
      <c r="J52" s="19">
        <v>0</v>
      </c>
      <c r="K52" s="19">
        <v>0</v>
      </c>
      <c r="L52" s="19">
        <v>0</v>
      </c>
      <c r="M52" s="19">
        <f t="shared" si="14"/>
        <v>0</v>
      </c>
      <c r="N52" s="35"/>
      <c r="O52" s="36"/>
      <c r="P52" s="161">
        <f t="shared" si="12"/>
        <v>39943150</v>
      </c>
      <c r="Q52" s="16"/>
    </row>
    <row r="53" spans="1:22" ht="20.25" customHeight="1" x14ac:dyDescent="0.3">
      <c r="A53" s="13"/>
      <c r="B53" s="14" t="s">
        <v>74</v>
      </c>
      <c r="C53" s="15" t="s">
        <v>110</v>
      </c>
      <c r="D53" s="26">
        <f>695+48.2</f>
        <v>743.2</v>
      </c>
      <c r="E53" s="50" t="s">
        <v>52</v>
      </c>
      <c r="F53" s="19">
        <v>0</v>
      </c>
      <c r="G53" s="26">
        <f>19%*D53</f>
        <v>141.208</v>
      </c>
      <c r="H53" s="26">
        <f t="shared" si="13"/>
        <v>141.208</v>
      </c>
      <c r="I53" s="19">
        <v>0</v>
      </c>
      <c r="J53" s="19">
        <v>0</v>
      </c>
      <c r="K53" s="19">
        <v>0</v>
      </c>
      <c r="L53" s="19">
        <v>0</v>
      </c>
      <c r="M53" s="19">
        <f t="shared" si="14"/>
        <v>0</v>
      </c>
      <c r="N53" s="35"/>
      <c r="O53" s="36"/>
      <c r="P53" s="161">
        <f t="shared" si="12"/>
        <v>119687900.80000001</v>
      </c>
      <c r="Q53" s="16"/>
    </row>
    <row r="54" spans="1:22" ht="18.75" customHeight="1" x14ac:dyDescent="0.3">
      <c r="A54" s="13"/>
      <c r="B54" s="14" t="s">
        <v>75</v>
      </c>
      <c r="C54" s="15" t="s">
        <v>112</v>
      </c>
      <c r="D54" s="26">
        <f>375+14</f>
        <v>389</v>
      </c>
      <c r="E54" s="50" t="s">
        <v>52</v>
      </c>
      <c r="F54" s="19">
        <v>0</v>
      </c>
      <c r="G54" s="26">
        <f>19%*D54</f>
        <v>73.91</v>
      </c>
      <c r="H54" s="26">
        <f t="shared" si="13"/>
        <v>73.91</v>
      </c>
      <c r="I54" s="19">
        <v>0</v>
      </c>
      <c r="J54" s="19">
        <v>0</v>
      </c>
      <c r="K54" s="19">
        <v>0</v>
      </c>
      <c r="L54" s="19">
        <v>0</v>
      </c>
      <c r="M54" s="19">
        <f t="shared" si="14"/>
        <v>0</v>
      </c>
      <c r="N54" s="35"/>
      <c r="O54" s="36"/>
      <c r="P54" s="161">
        <f t="shared" si="12"/>
        <v>62646115.999999993</v>
      </c>
      <c r="Q54" s="16"/>
    </row>
    <row r="55" spans="1:22" ht="18.75" customHeight="1" x14ac:dyDescent="0.3">
      <c r="A55" s="13"/>
      <c r="B55" s="14" t="s">
        <v>104</v>
      </c>
      <c r="C55" s="15" t="s">
        <v>114</v>
      </c>
      <c r="D55" s="26">
        <f>73.5</f>
        <v>73.5</v>
      </c>
      <c r="E55" s="50" t="s">
        <v>52</v>
      </c>
      <c r="F55" s="19">
        <v>0</v>
      </c>
      <c r="G55" s="26">
        <f>19%*D55</f>
        <v>13.965</v>
      </c>
      <c r="H55" s="26">
        <f t="shared" si="13"/>
        <v>13.965</v>
      </c>
      <c r="I55" s="19">
        <v>0</v>
      </c>
      <c r="J55" s="19">
        <v>0</v>
      </c>
      <c r="K55" s="19">
        <v>0</v>
      </c>
      <c r="L55" s="19">
        <v>0</v>
      </c>
      <c r="M55" s="19">
        <f t="shared" si="14"/>
        <v>0</v>
      </c>
      <c r="N55" s="35"/>
      <c r="O55" s="36"/>
      <c r="P55" s="161">
        <f t="shared" si="12"/>
        <v>11836734</v>
      </c>
      <c r="Q55" s="16"/>
    </row>
    <row r="56" spans="1:22" ht="14.25" customHeight="1" x14ac:dyDescent="0.3">
      <c r="A56" s="13"/>
      <c r="B56" s="14" t="s">
        <v>106</v>
      </c>
      <c r="C56" s="15" t="s">
        <v>22</v>
      </c>
      <c r="D56" s="26">
        <f>1130+101</f>
        <v>1231</v>
      </c>
      <c r="E56" s="50" t="s">
        <v>52</v>
      </c>
      <c r="F56" s="19">
        <v>0</v>
      </c>
      <c r="G56" s="26">
        <f>19%*D56</f>
        <v>233.89000000000001</v>
      </c>
      <c r="H56" s="26">
        <f t="shared" si="13"/>
        <v>233.89000000000001</v>
      </c>
      <c r="I56" s="19">
        <v>0</v>
      </c>
      <c r="J56" s="19">
        <v>0</v>
      </c>
      <c r="K56" s="19">
        <v>0</v>
      </c>
      <c r="L56" s="19">
        <v>0</v>
      </c>
      <c r="M56" s="19">
        <f t="shared" si="14"/>
        <v>0</v>
      </c>
      <c r="N56" s="35"/>
      <c r="O56" s="36"/>
      <c r="P56" s="161">
        <f t="shared" si="12"/>
        <v>198245164.00000003</v>
      </c>
      <c r="Q56" s="16"/>
    </row>
    <row r="57" spans="1:22" ht="15.75" customHeight="1" x14ac:dyDescent="0.3">
      <c r="A57" s="13"/>
      <c r="B57" s="14" t="s">
        <v>108</v>
      </c>
      <c r="C57" s="15" t="s">
        <v>180</v>
      </c>
      <c r="D57" s="26">
        <f>134.8+5</f>
        <v>139.80000000000001</v>
      </c>
      <c r="E57" s="47" t="s">
        <v>52</v>
      </c>
      <c r="F57" s="19">
        <v>0</v>
      </c>
      <c r="G57" s="26">
        <f>20%*D57</f>
        <v>27.960000000000004</v>
      </c>
      <c r="H57" s="26">
        <f t="shared" si="13"/>
        <v>27.960000000000004</v>
      </c>
      <c r="I57" s="19">
        <v>0</v>
      </c>
      <c r="J57" s="19">
        <v>0</v>
      </c>
      <c r="K57" s="19">
        <v>0</v>
      </c>
      <c r="L57" s="19">
        <v>0</v>
      </c>
      <c r="M57" s="19">
        <f t="shared" si="14"/>
        <v>0</v>
      </c>
      <c r="N57" s="35"/>
      <c r="O57" s="36"/>
      <c r="P57" s="161">
        <f t="shared" si="12"/>
        <v>23698896</v>
      </c>
      <c r="Q57" s="16"/>
    </row>
    <row r="58" spans="1:22" ht="20.25" customHeight="1" x14ac:dyDescent="0.3">
      <c r="A58" s="13"/>
      <c r="B58" s="14" t="s">
        <v>109</v>
      </c>
      <c r="C58" s="15" t="s">
        <v>43</v>
      </c>
      <c r="D58" s="26">
        <f>1189+216.6</f>
        <v>1405.6</v>
      </c>
      <c r="E58" s="50" t="s">
        <v>52</v>
      </c>
      <c r="F58" s="19">
        <v>0</v>
      </c>
      <c r="G58" s="26">
        <f>20%*D58</f>
        <v>281.12</v>
      </c>
      <c r="H58" s="26">
        <f t="shared" si="13"/>
        <v>281.12</v>
      </c>
      <c r="I58" s="19">
        <v>0</v>
      </c>
      <c r="J58" s="19">
        <v>0</v>
      </c>
      <c r="K58" s="19">
        <v>0</v>
      </c>
      <c r="L58" s="19">
        <v>0</v>
      </c>
      <c r="M58" s="19">
        <f t="shared" si="14"/>
        <v>0</v>
      </c>
      <c r="N58" s="35"/>
      <c r="O58" s="36"/>
      <c r="P58" s="161">
        <f t="shared" si="12"/>
        <v>238277312</v>
      </c>
      <c r="Q58" s="16"/>
    </row>
    <row r="59" spans="1:22" ht="18.75" customHeight="1" x14ac:dyDescent="0.3">
      <c r="A59" s="13"/>
      <c r="B59" s="14" t="s">
        <v>111</v>
      </c>
      <c r="C59" s="15" t="s">
        <v>44</v>
      </c>
      <c r="D59" s="26">
        <f>1396.6+127</f>
        <v>1523.6</v>
      </c>
      <c r="E59" s="50" t="s">
        <v>52</v>
      </c>
      <c r="F59" s="19">
        <v>0</v>
      </c>
      <c r="G59" s="26">
        <f>18%*D59</f>
        <v>274.24799999999999</v>
      </c>
      <c r="H59" s="26">
        <f t="shared" si="13"/>
        <v>274.24799999999999</v>
      </c>
      <c r="I59" s="19">
        <v>0</v>
      </c>
      <c r="J59" s="19">
        <v>0</v>
      </c>
      <c r="K59" s="19">
        <v>0</v>
      </c>
      <c r="L59" s="19">
        <v>0</v>
      </c>
      <c r="M59" s="19">
        <f t="shared" si="14"/>
        <v>0</v>
      </c>
      <c r="N59" s="35"/>
      <c r="O59" s="36"/>
      <c r="P59" s="161">
        <f t="shared" si="12"/>
        <v>232452604.79999998</v>
      </c>
      <c r="Q59" s="16"/>
    </row>
    <row r="60" spans="1:22" ht="15.75" customHeight="1" x14ac:dyDescent="0.3">
      <c r="A60" s="13"/>
      <c r="B60" s="14" t="s">
        <v>74</v>
      </c>
      <c r="C60" s="15" t="s">
        <v>43</v>
      </c>
      <c r="D60" s="26">
        <v>1189</v>
      </c>
      <c r="E60" s="50" t="s">
        <v>52</v>
      </c>
      <c r="F60" s="19">
        <v>0</v>
      </c>
      <c r="G60" s="26">
        <f>19%*D60</f>
        <v>225.91</v>
      </c>
      <c r="H60" s="26">
        <f t="shared" si="13"/>
        <v>225.91</v>
      </c>
      <c r="I60" s="19">
        <v>0</v>
      </c>
      <c r="J60" s="19"/>
      <c r="K60" s="19">
        <v>6</v>
      </c>
      <c r="L60" s="19">
        <v>0</v>
      </c>
      <c r="M60" s="19">
        <f t="shared" si="14"/>
        <v>6</v>
      </c>
      <c r="N60" s="35"/>
      <c r="O60" s="36"/>
      <c r="P60" s="161">
        <f t="shared" si="12"/>
        <v>191481316</v>
      </c>
      <c r="Q60" s="16"/>
    </row>
    <row r="61" spans="1:22" ht="21.75" customHeight="1" x14ac:dyDescent="0.3">
      <c r="A61" s="54"/>
      <c r="B61" s="55" t="s">
        <v>75</v>
      </c>
      <c r="C61" s="56" t="s">
        <v>44</v>
      </c>
      <c r="D61" s="57">
        <v>1391</v>
      </c>
      <c r="E61" s="78" t="s">
        <v>52</v>
      </c>
      <c r="F61" s="19">
        <v>0</v>
      </c>
      <c r="G61" s="26">
        <f>19%*D61</f>
        <v>264.29000000000002</v>
      </c>
      <c r="H61" s="26">
        <f t="shared" si="13"/>
        <v>264.29000000000002</v>
      </c>
      <c r="I61" s="19">
        <v>0</v>
      </c>
      <c r="J61" s="19"/>
      <c r="K61" s="19">
        <v>2</v>
      </c>
      <c r="L61" s="19">
        <v>0</v>
      </c>
      <c r="M61" s="19">
        <f t="shared" si="14"/>
        <v>2</v>
      </c>
      <c r="N61" s="35"/>
      <c r="O61" s="36"/>
      <c r="P61" s="161">
        <f t="shared" si="12"/>
        <v>224012204.00000003</v>
      </c>
      <c r="Q61" s="16"/>
    </row>
    <row r="62" spans="1:22" ht="21" customHeight="1" x14ac:dyDescent="0.3">
      <c r="A62" s="141"/>
      <c r="B62" s="117"/>
      <c r="C62" s="116"/>
      <c r="D62" s="109"/>
      <c r="E62" s="110" t="s">
        <v>223</v>
      </c>
      <c r="F62" s="90">
        <f>9%*D61</f>
        <v>125.19</v>
      </c>
      <c r="G62" s="90"/>
      <c r="H62" s="90">
        <f>SUM(F62:G62)</f>
        <v>125.19</v>
      </c>
      <c r="I62" s="19">
        <v>0</v>
      </c>
      <c r="J62" s="19">
        <v>0</v>
      </c>
      <c r="K62" s="19">
        <v>0</v>
      </c>
      <c r="L62" s="19">
        <v>0</v>
      </c>
      <c r="M62" s="19">
        <f t="shared" si="14"/>
        <v>0</v>
      </c>
      <c r="N62" s="80"/>
      <c r="O62" s="81"/>
      <c r="P62" s="161">
        <f t="shared" si="12"/>
        <v>0</v>
      </c>
      <c r="Q62" s="87"/>
    </row>
    <row r="63" spans="1:22" ht="21" customHeight="1" x14ac:dyDescent="0.3">
      <c r="A63" s="89"/>
      <c r="B63" s="71"/>
      <c r="C63" s="72" t="s">
        <v>347</v>
      </c>
      <c r="D63" s="84">
        <f>SUM(D33:D61)</f>
        <v>30736.879999999997</v>
      </c>
      <c r="E63" s="74"/>
      <c r="F63" s="83">
        <f>SUM(F40:F62)</f>
        <v>125.19</v>
      </c>
      <c r="G63" s="83">
        <f>SUM(G33:G62)</f>
        <v>7152.6325999999999</v>
      </c>
      <c r="H63" s="83">
        <f>SUM(H33:H62)</f>
        <v>7291.3637999999992</v>
      </c>
      <c r="I63" s="83">
        <f>SUM(I33:I62)</f>
        <v>0</v>
      </c>
      <c r="J63" s="83">
        <f>SUM(J33:J61)</f>
        <v>0</v>
      </c>
      <c r="K63" s="83">
        <f>SUM(K33:K61)</f>
        <v>40</v>
      </c>
      <c r="L63" s="83">
        <f>SUM(L33:L62)</f>
        <v>20</v>
      </c>
      <c r="M63" s="83">
        <f>SUM(M33:M61)</f>
        <v>60</v>
      </c>
      <c r="N63" s="76"/>
      <c r="O63" s="77"/>
      <c r="P63" s="162">
        <f>SUM(P33:P62)</f>
        <v>6062571391.7600002</v>
      </c>
      <c r="Q63" s="75"/>
      <c r="R63" s="2">
        <f>P63/D63</f>
        <v>197240.94936636381</v>
      </c>
    </row>
    <row r="64" spans="1:22" ht="19.5" customHeight="1" x14ac:dyDescent="0.3">
      <c r="A64" s="63">
        <v>4</v>
      </c>
      <c r="B64" s="64" t="s">
        <v>46</v>
      </c>
      <c r="C64" s="65"/>
      <c r="D64" s="66"/>
      <c r="E64" s="67"/>
      <c r="F64" s="82"/>
      <c r="G64" s="82"/>
      <c r="H64" s="82"/>
      <c r="I64" s="82"/>
      <c r="J64" s="82"/>
      <c r="K64" s="82"/>
      <c r="L64" s="82"/>
      <c r="M64" s="82"/>
      <c r="N64" s="69"/>
      <c r="O64" s="70"/>
      <c r="P64" s="70"/>
      <c r="Q64" s="68"/>
      <c r="T64" s="1" t="s">
        <v>289</v>
      </c>
      <c r="U64" s="1" t="s">
        <v>302</v>
      </c>
      <c r="V64" s="1" t="s">
        <v>296</v>
      </c>
    </row>
    <row r="65" spans="1:22" ht="22.5" customHeight="1" x14ac:dyDescent="0.3">
      <c r="A65" s="102"/>
      <c r="B65" s="98" t="s">
        <v>57</v>
      </c>
      <c r="C65" s="99" t="s">
        <v>29</v>
      </c>
      <c r="D65" s="96">
        <v>175</v>
      </c>
      <c r="E65" s="101" t="s">
        <v>233</v>
      </c>
      <c r="F65" s="96"/>
      <c r="G65" s="96">
        <f>18%*D65</f>
        <v>31.5</v>
      </c>
      <c r="H65" s="96">
        <f>SUM(F65:G65)</f>
        <v>31.5</v>
      </c>
      <c r="I65" s="97">
        <v>0</v>
      </c>
      <c r="J65" s="97"/>
      <c r="K65" s="97">
        <v>0</v>
      </c>
      <c r="L65" s="97">
        <v>0</v>
      </c>
      <c r="M65" s="97">
        <f t="shared" ref="M65:M72" si="15">SUM(I65:L65)</f>
        <v>0</v>
      </c>
      <c r="N65" s="35" t="s">
        <v>51</v>
      </c>
      <c r="O65" s="36" t="s">
        <v>229</v>
      </c>
      <c r="P65" s="161">
        <f>G65*1.036*20%*6000000</f>
        <v>39160800</v>
      </c>
      <c r="Q65" s="16"/>
      <c r="S65" s="1" t="s">
        <v>300</v>
      </c>
      <c r="T65" s="1" t="s">
        <v>301</v>
      </c>
      <c r="U65" s="1">
        <v>556</v>
      </c>
      <c r="V65" s="1">
        <v>250</v>
      </c>
    </row>
    <row r="66" spans="1:22" ht="15.75" customHeight="1" x14ac:dyDescent="0.3">
      <c r="A66" s="13"/>
      <c r="B66" s="14" t="s">
        <v>58</v>
      </c>
      <c r="C66" s="15" t="s">
        <v>33</v>
      </c>
      <c r="D66" s="26">
        <v>368</v>
      </c>
      <c r="E66" s="47" t="s">
        <v>185</v>
      </c>
      <c r="F66" s="26">
        <f>0%*D66</f>
        <v>0</v>
      </c>
      <c r="G66" s="26">
        <f>18%*D66</f>
        <v>66.239999999999995</v>
      </c>
      <c r="H66" s="26">
        <f t="shared" ref="H66:H72" si="16">SUM(F66:G66)</f>
        <v>66.239999999999995</v>
      </c>
      <c r="I66" s="19">
        <v>0</v>
      </c>
      <c r="J66" s="19"/>
      <c r="K66" s="19">
        <v>0</v>
      </c>
      <c r="L66" s="19">
        <v>0</v>
      </c>
      <c r="M66" s="19">
        <f t="shared" si="15"/>
        <v>0</v>
      </c>
      <c r="N66" s="35" t="s">
        <v>51</v>
      </c>
      <c r="O66" s="36" t="s">
        <v>278</v>
      </c>
      <c r="P66" s="161">
        <f>G66*1.036*50%*6000000</f>
        <v>205873920</v>
      </c>
      <c r="Q66" s="16"/>
      <c r="R66" s="1" t="s">
        <v>312</v>
      </c>
    </row>
    <row r="67" spans="1:22" ht="21" customHeight="1" x14ac:dyDescent="0.3">
      <c r="A67" s="13"/>
      <c r="B67" s="98" t="s">
        <v>59</v>
      </c>
      <c r="C67" s="99" t="s">
        <v>42</v>
      </c>
      <c r="D67" s="96">
        <v>774.98</v>
      </c>
      <c r="E67" s="101" t="s">
        <v>233</v>
      </c>
      <c r="F67" s="96">
        <f>0%*D67</f>
        <v>0</v>
      </c>
      <c r="G67" s="97">
        <f>13%*D67</f>
        <v>100.7474</v>
      </c>
      <c r="H67" s="96">
        <f t="shared" si="16"/>
        <v>100.7474</v>
      </c>
      <c r="I67" s="97">
        <v>0</v>
      </c>
      <c r="J67" s="97"/>
      <c r="K67" s="97">
        <v>0</v>
      </c>
      <c r="L67" s="97">
        <v>0</v>
      </c>
      <c r="M67" s="97">
        <f t="shared" si="15"/>
        <v>0</v>
      </c>
      <c r="N67" s="35"/>
      <c r="O67" s="36"/>
      <c r="P67" s="161">
        <f t="shared" ref="P67:P72" si="17">G67*1.036*20%*6000000</f>
        <v>125249167.68000002</v>
      </c>
      <c r="Q67" s="16"/>
      <c r="R67" s="166">
        <v>1670</v>
      </c>
    </row>
    <row r="68" spans="1:22" ht="25.5" customHeight="1" x14ac:dyDescent="0.3">
      <c r="A68" s="13"/>
      <c r="B68" s="98" t="s">
        <v>60</v>
      </c>
      <c r="C68" s="99" t="s">
        <v>21</v>
      </c>
      <c r="D68" s="96">
        <v>942.55</v>
      </c>
      <c r="E68" s="101" t="s">
        <v>186</v>
      </c>
      <c r="F68" s="96">
        <f>1%*D68</f>
        <v>9.4254999999999995</v>
      </c>
      <c r="G68" s="97">
        <f>7%*D68</f>
        <v>65.978499999999997</v>
      </c>
      <c r="H68" s="96">
        <f t="shared" si="16"/>
        <v>75.403999999999996</v>
      </c>
      <c r="I68" s="97">
        <v>0</v>
      </c>
      <c r="J68" s="97"/>
      <c r="K68" s="97">
        <v>2</v>
      </c>
      <c r="L68" s="97">
        <v>0</v>
      </c>
      <c r="M68" s="97">
        <f t="shared" si="15"/>
        <v>2</v>
      </c>
      <c r="N68" s="35"/>
      <c r="O68" s="36"/>
      <c r="P68" s="161">
        <f t="shared" si="17"/>
        <v>82024471.199999988</v>
      </c>
      <c r="Q68" s="16"/>
    </row>
    <row r="69" spans="1:22" ht="22.5" customHeight="1" x14ac:dyDescent="0.3">
      <c r="A69" s="13"/>
      <c r="B69" s="98"/>
      <c r="C69" s="99"/>
      <c r="D69" s="96"/>
      <c r="E69" s="101" t="s">
        <v>233</v>
      </c>
      <c r="F69" s="96"/>
      <c r="G69" s="96">
        <f>7%*D68</f>
        <v>65.978499999999997</v>
      </c>
      <c r="H69" s="96">
        <f>SUM(F69:G69)</f>
        <v>65.978499999999997</v>
      </c>
      <c r="I69" s="19">
        <v>0</v>
      </c>
      <c r="J69" s="19">
        <v>0</v>
      </c>
      <c r="K69" s="19">
        <v>0</v>
      </c>
      <c r="L69" s="19">
        <v>0</v>
      </c>
      <c r="M69" s="19">
        <f t="shared" si="15"/>
        <v>0</v>
      </c>
      <c r="N69" s="35"/>
      <c r="O69" s="36"/>
      <c r="P69" s="161">
        <f t="shared" si="17"/>
        <v>82024471.199999988</v>
      </c>
      <c r="Q69" s="16"/>
      <c r="R69" s="1" t="s">
        <v>320</v>
      </c>
      <c r="S69" s="1" t="s">
        <v>321</v>
      </c>
      <c r="T69" s="2">
        <v>15000</v>
      </c>
    </row>
    <row r="70" spans="1:22" ht="24" customHeight="1" x14ac:dyDescent="0.3">
      <c r="A70" s="16"/>
      <c r="B70" s="14" t="s">
        <v>61</v>
      </c>
      <c r="C70" s="15" t="s">
        <v>22</v>
      </c>
      <c r="D70" s="26">
        <v>1233.55</v>
      </c>
      <c r="E70" s="101" t="s">
        <v>233</v>
      </c>
      <c r="F70" s="26">
        <f>0%*D70</f>
        <v>0</v>
      </c>
      <c r="G70" s="19">
        <f>7%*D70</f>
        <v>86.348500000000001</v>
      </c>
      <c r="H70" s="26">
        <f t="shared" si="16"/>
        <v>86.348500000000001</v>
      </c>
      <c r="I70" s="19">
        <v>0</v>
      </c>
      <c r="J70" s="19"/>
      <c r="K70" s="19">
        <v>2</v>
      </c>
      <c r="L70" s="19">
        <v>0</v>
      </c>
      <c r="M70" s="19">
        <f t="shared" si="15"/>
        <v>2</v>
      </c>
      <c r="N70" s="35"/>
      <c r="O70" s="36"/>
      <c r="P70" s="161">
        <f t="shared" si="17"/>
        <v>107348455.20000002</v>
      </c>
      <c r="Q70" s="16"/>
      <c r="R70" s="1" t="s">
        <v>322</v>
      </c>
      <c r="T70" s="2">
        <v>6000</v>
      </c>
    </row>
    <row r="71" spans="1:22" ht="21" customHeight="1" x14ac:dyDescent="0.3">
      <c r="A71" s="87"/>
      <c r="B71" s="55" t="s">
        <v>62</v>
      </c>
      <c r="C71" s="56" t="s">
        <v>43</v>
      </c>
      <c r="D71" s="57">
        <v>133</v>
      </c>
      <c r="E71" s="101" t="s">
        <v>233</v>
      </c>
      <c r="F71" s="26">
        <f>0%*D71</f>
        <v>0</v>
      </c>
      <c r="G71" s="19">
        <f>5%*D71</f>
        <v>6.65</v>
      </c>
      <c r="H71" s="26">
        <f t="shared" si="16"/>
        <v>6.65</v>
      </c>
      <c r="I71" s="19">
        <v>0</v>
      </c>
      <c r="J71" s="19"/>
      <c r="K71" s="19">
        <v>0</v>
      </c>
      <c r="L71" s="19">
        <v>0</v>
      </c>
      <c r="M71" s="19">
        <f t="shared" si="15"/>
        <v>0</v>
      </c>
      <c r="N71" s="35"/>
      <c r="O71" s="36"/>
      <c r="P71" s="161">
        <f t="shared" si="17"/>
        <v>8267280.0000000009</v>
      </c>
      <c r="Q71" s="16"/>
      <c r="R71" s="1" t="s">
        <v>333</v>
      </c>
      <c r="S71" s="1" t="s">
        <v>337</v>
      </c>
    </row>
    <row r="72" spans="1:22" ht="27.75" customHeight="1" x14ac:dyDescent="0.3">
      <c r="A72" s="16"/>
      <c r="B72" s="14" t="s">
        <v>63</v>
      </c>
      <c r="C72" s="15" t="s">
        <v>32</v>
      </c>
      <c r="D72" s="26">
        <v>298.5</v>
      </c>
      <c r="E72" s="101" t="s">
        <v>236</v>
      </c>
      <c r="F72" s="26">
        <f>0%*D72</f>
        <v>0</v>
      </c>
      <c r="G72" s="19">
        <f>5%*D72</f>
        <v>14.925000000000001</v>
      </c>
      <c r="H72" s="26">
        <f t="shared" si="16"/>
        <v>14.925000000000001</v>
      </c>
      <c r="I72" s="135">
        <v>0</v>
      </c>
      <c r="J72" s="135"/>
      <c r="K72" s="135">
        <v>0</v>
      </c>
      <c r="L72" s="135">
        <v>0</v>
      </c>
      <c r="M72" s="135">
        <f t="shared" si="15"/>
        <v>0</v>
      </c>
      <c r="N72" s="80"/>
      <c r="O72" s="81"/>
      <c r="P72" s="161">
        <f t="shared" si="17"/>
        <v>18554760.000000004</v>
      </c>
      <c r="Q72" s="87"/>
    </row>
    <row r="73" spans="1:22" ht="18.75" customHeight="1" x14ac:dyDescent="0.3">
      <c r="A73" s="75"/>
      <c r="B73" s="71"/>
      <c r="C73" s="72" t="s">
        <v>348</v>
      </c>
      <c r="D73" s="73">
        <f>SUM(D65:D72)</f>
        <v>3925.58</v>
      </c>
      <c r="E73" s="74"/>
      <c r="F73" s="73">
        <f t="shared" ref="F73:K73" si="18">SUM(F65:F72)</f>
        <v>9.4254999999999995</v>
      </c>
      <c r="G73" s="83">
        <f t="shared" si="18"/>
        <v>438.36789999999996</v>
      </c>
      <c r="H73" s="73">
        <f t="shared" si="18"/>
        <v>447.79339999999996</v>
      </c>
      <c r="I73" s="83">
        <f t="shared" si="18"/>
        <v>0</v>
      </c>
      <c r="J73" s="83">
        <f t="shared" si="18"/>
        <v>0</v>
      </c>
      <c r="K73" s="83">
        <f t="shared" si="18"/>
        <v>4</v>
      </c>
      <c r="L73" s="83"/>
      <c r="M73" s="83">
        <f>SUM(M65:M72)</f>
        <v>4</v>
      </c>
      <c r="N73" s="76"/>
      <c r="O73" s="77"/>
      <c r="P73" s="162">
        <f>SUM(P65:P72)</f>
        <v>668503325.27999997</v>
      </c>
      <c r="Q73" s="75"/>
    </row>
    <row r="74" spans="1:22" ht="16.5" customHeight="1" x14ac:dyDescent="0.3">
      <c r="A74" s="63">
        <v>5</v>
      </c>
      <c r="B74" s="64" t="s">
        <v>96</v>
      </c>
      <c r="C74" s="65"/>
      <c r="D74" s="66"/>
      <c r="E74" s="67"/>
      <c r="F74" s="66"/>
      <c r="G74" s="66"/>
      <c r="H74" s="66"/>
      <c r="I74" s="82"/>
      <c r="J74" s="82"/>
      <c r="K74" s="82"/>
      <c r="L74" s="82"/>
      <c r="M74" s="82"/>
      <c r="N74" s="69"/>
      <c r="O74" s="70"/>
      <c r="P74" s="70"/>
      <c r="Q74" s="68"/>
    </row>
    <row r="75" spans="1:22" ht="16.5" customHeight="1" x14ac:dyDescent="0.3">
      <c r="A75" s="16"/>
      <c r="B75" s="14" t="s">
        <v>57</v>
      </c>
      <c r="C75" s="15" t="s">
        <v>22</v>
      </c>
      <c r="D75" s="26">
        <v>9.5</v>
      </c>
      <c r="E75" s="47" t="s">
        <v>163</v>
      </c>
      <c r="F75" s="26">
        <f>2%*D75</f>
        <v>0.19</v>
      </c>
      <c r="G75" s="26">
        <v>0</v>
      </c>
      <c r="H75" s="26">
        <f t="shared" ref="H75:H83" si="19">SUM(F75:G75)</f>
        <v>0.19</v>
      </c>
      <c r="I75" s="19">
        <v>0</v>
      </c>
      <c r="J75" s="19"/>
      <c r="K75" s="19">
        <v>0</v>
      </c>
      <c r="L75" s="19">
        <v>0</v>
      </c>
      <c r="M75" s="19">
        <f>SUM(I75:L75)</f>
        <v>0</v>
      </c>
      <c r="N75" s="35"/>
      <c r="O75" s="36"/>
      <c r="P75" s="161">
        <f t="shared" ref="P75:P83" si="20">600*H75*40000</f>
        <v>4560000</v>
      </c>
      <c r="Q75" s="16"/>
      <c r="T75" s="1" t="s">
        <v>289</v>
      </c>
      <c r="U75" s="1" t="s">
        <v>304</v>
      </c>
      <c r="V75" s="1" t="s">
        <v>296</v>
      </c>
    </row>
    <row r="76" spans="1:22" ht="17.25" customHeight="1" x14ac:dyDescent="0.3">
      <c r="A76" s="16"/>
      <c r="B76" s="14" t="s">
        <v>58</v>
      </c>
      <c r="C76" s="15" t="s">
        <v>21</v>
      </c>
      <c r="D76" s="26">
        <v>18.11</v>
      </c>
      <c r="E76" s="47" t="s">
        <v>164</v>
      </c>
      <c r="F76" s="26">
        <f>1%*D76</f>
        <v>0.18110000000000001</v>
      </c>
      <c r="G76" s="26">
        <f>2%*D76</f>
        <v>0.36220000000000002</v>
      </c>
      <c r="H76" s="26">
        <f t="shared" si="19"/>
        <v>0.54330000000000001</v>
      </c>
      <c r="I76" s="19">
        <v>0</v>
      </c>
      <c r="J76" s="19"/>
      <c r="K76" s="19"/>
      <c r="L76" s="19">
        <v>0</v>
      </c>
      <c r="M76" s="19">
        <f t="shared" ref="M76:M83" si="21">SUM(I76:L76)</f>
        <v>0</v>
      </c>
      <c r="N76" s="35"/>
      <c r="O76" s="36" t="s">
        <v>50</v>
      </c>
      <c r="P76" s="161">
        <f t="shared" si="20"/>
        <v>13039200</v>
      </c>
      <c r="Q76" s="16"/>
      <c r="S76" s="1" t="s">
        <v>96</v>
      </c>
      <c r="T76" s="1" t="s">
        <v>303</v>
      </c>
      <c r="U76" s="1" t="s">
        <v>305</v>
      </c>
      <c r="V76" s="1" t="s">
        <v>306</v>
      </c>
    </row>
    <row r="77" spans="1:22" ht="16.5" customHeight="1" x14ac:dyDescent="0.3">
      <c r="A77" s="16"/>
      <c r="B77" s="14"/>
      <c r="C77" s="15"/>
      <c r="D77" s="26"/>
      <c r="E77" s="49" t="s">
        <v>187</v>
      </c>
      <c r="F77" s="96">
        <f>12%*D76</f>
        <v>2.1732</v>
      </c>
      <c r="G77" s="96">
        <v>0</v>
      </c>
      <c r="H77" s="96">
        <f t="shared" si="19"/>
        <v>2.1732</v>
      </c>
      <c r="I77" s="97">
        <v>0</v>
      </c>
      <c r="J77" s="97">
        <v>0</v>
      </c>
      <c r="K77" s="97">
        <v>0</v>
      </c>
      <c r="L77" s="97">
        <v>0</v>
      </c>
      <c r="M77" s="97">
        <f t="shared" si="21"/>
        <v>0</v>
      </c>
      <c r="N77" s="35"/>
      <c r="O77" s="36"/>
      <c r="P77" s="161">
        <f t="shared" si="20"/>
        <v>52156800</v>
      </c>
      <c r="Q77" s="16"/>
      <c r="R77" s="1" t="s">
        <v>312</v>
      </c>
    </row>
    <row r="78" spans="1:22" ht="16.5" customHeight="1" x14ac:dyDescent="0.3">
      <c r="A78" s="16"/>
      <c r="B78" s="14" t="s">
        <v>59</v>
      </c>
      <c r="C78" s="15" t="s">
        <v>43</v>
      </c>
      <c r="D78" s="26">
        <v>19.79</v>
      </c>
      <c r="E78" s="47" t="s">
        <v>164</v>
      </c>
      <c r="F78" s="26">
        <f>9%*D78</f>
        <v>1.7810999999999999</v>
      </c>
      <c r="G78" s="26">
        <v>0</v>
      </c>
      <c r="H78" s="26">
        <f t="shared" si="19"/>
        <v>1.7810999999999999</v>
      </c>
      <c r="I78" s="19">
        <v>0</v>
      </c>
      <c r="J78" s="19"/>
      <c r="K78" s="19">
        <v>1</v>
      </c>
      <c r="L78" s="19">
        <v>0</v>
      </c>
      <c r="M78" s="19">
        <f t="shared" si="21"/>
        <v>1</v>
      </c>
      <c r="N78" s="35"/>
      <c r="O78" s="36" t="s">
        <v>137</v>
      </c>
      <c r="P78" s="161">
        <f t="shared" si="20"/>
        <v>42746399.999999993</v>
      </c>
      <c r="Q78" s="16"/>
      <c r="R78" s="1" t="s">
        <v>323</v>
      </c>
    </row>
    <row r="79" spans="1:22" ht="17.25" customHeight="1" x14ac:dyDescent="0.3">
      <c r="A79" s="16"/>
      <c r="B79" s="14" t="s">
        <v>60</v>
      </c>
      <c r="C79" s="15" t="s">
        <v>44</v>
      </c>
      <c r="D79" s="26">
        <v>30.5</v>
      </c>
      <c r="E79" s="47" t="s">
        <v>164</v>
      </c>
      <c r="F79" s="26">
        <f>9%*D79</f>
        <v>2.7450000000000001</v>
      </c>
      <c r="G79" s="26">
        <v>0</v>
      </c>
      <c r="H79" s="26">
        <f t="shared" si="19"/>
        <v>2.7450000000000001</v>
      </c>
      <c r="I79" s="19">
        <v>0</v>
      </c>
      <c r="J79" s="19">
        <v>0</v>
      </c>
      <c r="K79" s="19">
        <v>0</v>
      </c>
      <c r="L79" s="19">
        <v>0</v>
      </c>
      <c r="M79" s="19">
        <f t="shared" si="21"/>
        <v>0</v>
      </c>
      <c r="N79" s="35"/>
      <c r="O79" s="36" t="s">
        <v>145</v>
      </c>
      <c r="P79" s="161">
        <f t="shared" si="20"/>
        <v>65880000</v>
      </c>
      <c r="Q79" s="16"/>
      <c r="R79" s="1" t="s">
        <v>324</v>
      </c>
    </row>
    <row r="80" spans="1:22" ht="15.75" customHeight="1" x14ac:dyDescent="0.3">
      <c r="A80" s="16"/>
      <c r="B80" s="14" t="s">
        <v>61</v>
      </c>
      <c r="C80" s="15" t="s">
        <v>33</v>
      </c>
      <c r="D80" s="26">
        <v>8.3000000000000007</v>
      </c>
      <c r="E80" s="47" t="s">
        <v>164</v>
      </c>
      <c r="F80" s="26">
        <f>9%*D80</f>
        <v>0.747</v>
      </c>
      <c r="G80" s="26">
        <v>0</v>
      </c>
      <c r="H80" s="26">
        <f t="shared" si="19"/>
        <v>0.747</v>
      </c>
      <c r="I80" s="19">
        <v>0</v>
      </c>
      <c r="J80" s="19">
        <v>0</v>
      </c>
      <c r="K80" s="19">
        <v>0</v>
      </c>
      <c r="L80" s="19">
        <v>0</v>
      </c>
      <c r="M80" s="19">
        <f t="shared" si="21"/>
        <v>0</v>
      </c>
      <c r="N80" s="35"/>
      <c r="O80" s="36" t="s">
        <v>146</v>
      </c>
      <c r="P80" s="161">
        <f t="shared" si="20"/>
        <v>17928000</v>
      </c>
      <c r="Q80" s="16"/>
    </row>
    <row r="81" spans="1:22" ht="17.25" customHeight="1" x14ac:dyDescent="0.3">
      <c r="A81" s="16"/>
      <c r="B81" s="14" t="s">
        <v>62</v>
      </c>
      <c r="C81" s="15" t="s">
        <v>32</v>
      </c>
      <c r="D81" s="26">
        <v>1.25</v>
      </c>
      <c r="E81" s="47" t="s">
        <v>164</v>
      </c>
      <c r="F81" s="26">
        <f>1%*D81</f>
        <v>1.2500000000000001E-2</v>
      </c>
      <c r="G81" s="26">
        <v>0</v>
      </c>
      <c r="H81" s="26">
        <f t="shared" si="19"/>
        <v>1.2500000000000001E-2</v>
      </c>
      <c r="I81" s="19">
        <v>0</v>
      </c>
      <c r="J81" s="19">
        <v>0</v>
      </c>
      <c r="K81" s="19">
        <v>0</v>
      </c>
      <c r="L81" s="19">
        <v>0</v>
      </c>
      <c r="M81" s="19">
        <f t="shared" si="21"/>
        <v>0</v>
      </c>
      <c r="N81" s="35"/>
      <c r="O81" s="36"/>
      <c r="P81" s="161">
        <f t="shared" si="20"/>
        <v>300000</v>
      </c>
      <c r="Q81" s="16"/>
      <c r="R81" s="1" t="s">
        <v>339</v>
      </c>
      <c r="S81" s="1" t="s">
        <v>340</v>
      </c>
    </row>
    <row r="82" spans="1:22" ht="16.5" customHeight="1" x14ac:dyDescent="0.3">
      <c r="A82" s="16"/>
      <c r="B82" s="14">
        <v>9</v>
      </c>
      <c r="C82" s="15" t="s">
        <v>30</v>
      </c>
      <c r="D82" s="26">
        <v>9.5</v>
      </c>
      <c r="E82" s="47" t="s">
        <v>164</v>
      </c>
      <c r="F82" s="26">
        <f>11%*D82</f>
        <v>1.0449999999999999</v>
      </c>
      <c r="G82" s="26">
        <v>0</v>
      </c>
      <c r="H82" s="26">
        <f t="shared" si="19"/>
        <v>1.0449999999999999</v>
      </c>
      <c r="I82" s="19">
        <v>0</v>
      </c>
      <c r="J82" s="19">
        <v>0</v>
      </c>
      <c r="K82" s="19">
        <v>0</v>
      </c>
      <c r="L82" s="19">
        <v>0</v>
      </c>
      <c r="M82" s="19">
        <f t="shared" si="21"/>
        <v>0</v>
      </c>
      <c r="N82" s="35"/>
      <c r="O82" s="36"/>
      <c r="P82" s="161">
        <f t="shared" si="20"/>
        <v>25080000</v>
      </c>
      <c r="Q82" s="16"/>
    </row>
    <row r="83" spans="1:22" ht="17.25" customHeight="1" x14ac:dyDescent="0.3">
      <c r="A83" s="87"/>
      <c r="B83" s="55" t="s">
        <v>64</v>
      </c>
      <c r="C83" s="56" t="s">
        <v>31</v>
      </c>
      <c r="D83" s="57">
        <v>6</v>
      </c>
      <c r="E83" s="85" t="s">
        <v>164</v>
      </c>
      <c r="F83" s="26">
        <f>14%*D83</f>
        <v>0.84000000000000008</v>
      </c>
      <c r="G83" s="26">
        <v>0</v>
      </c>
      <c r="H83" s="26">
        <f t="shared" si="19"/>
        <v>0.84000000000000008</v>
      </c>
      <c r="I83" s="79">
        <v>0</v>
      </c>
      <c r="J83" s="79">
        <v>0</v>
      </c>
      <c r="K83" s="79">
        <v>0</v>
      </c>
      <c r="L83" s="79">
        <v>0</v>
      </c>
      <c r="M83" s="79">
        <f t="shared" si="21"/>
        <v>0</v>
      </c>
      <c r="N83" s="80"/>
      <c r="O83" s="81"/>
      <c r="P83" s="161">
        <f t="shared" si="20"/>
        <v>20160000.000000004</v>
      </c>
      <c r="Q83" s="87"/>
      <c r="R83" s="163"/>
      <c r="S83" s="163">
        <f>14%*R83</f>
        <v>0</v>
      </c>
    </row>
    <row r="84" spans="1:22" ht="18.75" customHeight="1" x14ac:dyDescent="0.3">
      <c r="A84" s="75"/>
      <c r="B84" s="71"/>
      <c r="C84" s="72" t="s">
        <v>349</v>
      </c>
      <c r="D84" s="73">
        <f>SUM(D75:D83)</f>
        <v>102.95</v>
      </c>
      <c r="E84" s="74"/>
      <c r="F84" s="73">
        <f t="shared" ref="F84:K84" si="22">SUM(F75:F83)</f>
        <v>9.7149000000000001</v>
      </c>
      <c r="G84" s="73">
        <f t="shared" si="22"/>
        <v>0.36220000000000002</v>
      </c>
      <c r="H84" s="73">
        <f t="shared" si="22"/>
        <v>10.0771</v>
      </c>
      <c r="I84" s="83">
        <f t="shared" si="22"/>
        <v>0</v>
      </c>
      <c r="J84" s="83">
        <f t="shared" si="22"/>
        <v>0</v>
      </c>
      <c r="K84" s="83">
        <f t="shared" si="22"/>
        <v>1</v>
      </c>
      <c r="L84" s="83">
        <f>SUM(L74:L83)</f>
        <v>0</v>
      </c>
      <c r="M84" s="83">
        <f>SUM(M75:M83)</f>
        <v>1</v>
      </c>
      <c r="N84" s="76"/>
      <c r="O84" s="77"/>
      <c r="P84" s="162">
        <f>SUM(P75:P83)</f>
        <v>241850400</v>
      </c>
      <c r="Q84" s="75"/>
      <c r="R84" s="2">
        <f>P84/D84</f>
        <v>2349202.5254978146</v>
      </c>
      <c r="S84" s="164">
        <f>R84/200</f>
        <v>11746.012627489074</v>
      </c>
    </row>
    <row r="85" spans="1:22" ht="13.5" customHeight="1" x14ac:dyDescent="0.3">
      <c r="A85" s="63">
        <v>6</v>
      </c>
      <c r="B85" s="8" t="s">
        <v>117</v>
      </c>
      <c r="C85" s="10"/>
      <c r="D85" s="90"/>
      <c r="E85" s="67"/>
      <c r="F85" s="66"/>
      <c r="G85" s="82"/>
      <c r="H85" s="66"/>
      <c r="I85" s="82"/>
      <c r="J85" s="82"/>
      <c r="K85" s="82"/>
      <c r="L85" s="82"/>
      <c r="M85" s="82"/>
      <c r="N85" s="69"/>
      <c r="O85" s="70"/>
      <c r="P85" s="70"/>
      <c r="Q85" s="68"/>
    </row>
    <row r="86" spans="1:22" ht="24.75" customHeight="1" x14ac:dyDescent="0.3">
      <c r="A86" s="16"/>
      <c r="B86" s="14" t="s">
        <v>57</v>
      </c>
      <c r="C86" s="15" t="s">
        <v>22</v>
      </c>
      <c r="D86" s="26">
        <v>296.95</v>
      </c>
      <c r="E86" s="101" t="s">
        <v>203</v>
      </c>
      <c r="F86" s="96">
        <f>3%*D86</f>
        <v>8.9085000000000001</v>
      </c>
      <c r="G86" s="180">
        <v>0</v>
      </c>
      <c r="H86" s="96">
        <f t="shared" ref="H86:H94" si="23">SUM(F86:G86)</f>
        <v>8.9085000000000001</v>
      </c>
      <c r="I86" s="97">
        <v>0</v>
      </c>
      <c r="J86" s="97"/>
      <c r="K86" s="97">
        <v>1</v>
      </c>
      <c r="L86" s="97">
        <v>4</v>
      </c>
      <c r="M86" s="97">
        <f>SUM(I86:L86)</f>
        <v>5</v>
      </c>
      <c r="N86" s="35" t="s">
        <v>51</v>
      </c>
      <c r="O86" s="40" t="s">
        <v>211</v>
      </c>
      <c r="P86" s="167">
        <f t="shared" ref="P86:P95" si="24">G86*0.3*30%*50000000</f>
        <v>0</v>
      </c>
      <c r="Q86" s="16"/>
    </row>
    <row r="87" spans="1:22" ht="15" customHeight="1" x14ac:dyDescent="0.3">
      <c r="A87" s="16"/>
      <c r="B87" s="14"/>
      <c r="C87" s="15"/>
      <c r="D87" s="26"/>
      <c r="E87" s="101" t="s">
        <v>220</v>
      </c>
      <c r="F87" s="96">
        <f>2%*D86</f>
        <v>5.9390000000000001</v>
      </c>
      <c r="G87" s="180"/>
      <c r="H87" s="96">
        <f>SUM(F87:G87)</f>
        <v>5.9390000000000001</v>
      </c>
      <c r="I87" s="97">
        <v>0</v>
      </c>
      <c r="J87" s="97"/>
      <c r="K87" s="97">
        <v>0</v>
      </c>
      <c r="L87" s="97">
        <v>3</v>
      </c>
      <c r="M87" s="97">
        <f>SUM(I87:L87)</f>
        <v>3</v>
      </c>
      <c r="N87" s="35"/>
      <c r="O87" s="40"/>
      <c r="P87" s="167">
        <f t="shared" si="24"/>
        <v>0</v>
      </c>
      <c r="Q87" s="16"/>
    </row>
    <row r="88" spans="1:22" ht="32.25" customHeight="1" x14ac:dyDescent="0.3">
      <c r="A88" s="16"/>
      <c r="B88" s="14" t="s">
        <v>58</v>
      </c>
      <c r="C88" s="15" t="s">
        <v>42</v>
      </c>
      <c r="D88" s="26">
        <v>248.5</v>
      </c>
      <c r="E88" s="101" t="s">
        <v>203</v>
      </c>
      <c r="F88" s="96">
        <f>7%*D88</f>
        <v>17.395000000000003</v>
      </c>
      <c r="G88" s="180">
        <v>0</v>
      </c>
      <c r="H88" s="96">
        <f t="shared" si="23"/>
        <v>17.395000000000003</v>
      </c>
      <c r="I88" s="97">
        <v>0</v>
      </c>
      <c r="J88" s="97"/>
      <c r="K88" s="97">
        <v>0</v>
      </c>
      <c r="L88" s="97">
        <v>4</v>
      </c>
      <c r="M88" s="97">
        <f>SUM(I88:L88)</f>
        <v>4</v>
      </c>
      <c r="N88" s="35" t="s">
        <v>51</v>
      </c>
      <c r="O88" s="169" t="s">
        <v>137</v>
      </c>
      <c r="P88" s="167">
        <f t="shared" si="24"/>
        <v>0</v>
      </c>
      <c r="Q88" s="16"/>
    </row>
    <row r="89" spans="1:22" ht="14.25" customHeight="1" x14ac:dyDescent="0.3">
      <c r="A89" s="16"/>
      <c r="B89" s="14"/>
      <c r="C89" s="15"/>
      <c r="D89" s="26"/>
      <c r="E89" s="101" t="s">
        <v>220</v>
      </c>
      <c r="F89" s="96">
        <f>8%*D88</f>
        <v>19.88</v>
      </c>
      <c r="G89" s="180"/>
      <c r="H89" s="96">
        <f>SUM(F89:G89)</f>
        <v>19.88</v>
      </c>
      <c r="I89" s="97"/>
      <c r="J89" s="97"/>
      <c r="K89" s="97"/>
      <c r="L89" s="97"/>
      <c r="M89" s="97"/>
      <c r="N89" s="35"/>
      <c r="O89" s="40"/>
      <c r="P89" s="167">
        <f t="shared" si="24"/>
        <v>0</v>
      </c>
      <c r="Q89" s="16"/>
      <c r="T89" s="1" t="s">
        <v>308</v>
      </c>
      <c r="U89" s="1" t="s">
        <v>309</v>
      </c>
      <c r="V89" s="1" t="s">
        <v>296</v>
      </c>
    </row>
    <row r="90" spans="1:22" ht="22.5" customHeight="1" x14ac:dyDescent="0.3">
      <c r="A90" s="16"/>
      <c r="B90" s="14" t="s">
        <v>59</v>
      </c>
      <c r="C90" s="15" t="s">
        <v>21</v>
      </c>
      <c r="D90" s="18">
        <v>156.94999999999999</v>
      </c>
      <c r="E90" s="101" t="s">
        <v>203</v>
      </c>
      <c r="F90" s="145"/>
      <c r="G90" s="146">
        <v>5</v>
      </c>
      <c r="H90" s="96">
        <f t="shared" si="23"/>
        <v>5</v>
      </c>
      <c r="I90" s="97">
        <v>0</v>
      </c>
      <c r="J90" s="97"/>
      <c r="K90" s="97">
        <v>0</v>
      </c>
      <c r="L90" s="97">
        <v>2</v>
      </c>
      <c r="M90" s="97">
        <f>SUM(I90:L90)</f>
        <v>2</v>
      </c>
      <c r="N90" s="35"/>
      <c r="O90" s="36"/>
      <c r="P90" s="167">
        <f t="shared" si="24"/>
        <v>22499999.999999996</v>
      </c>
      <c r="Q90" s="16"/>
      <c r="S90" s="1" t="s">
        <v>307</v>
      </c>
      <c r="T90" s="1" t="s">
        <v>298</v>
      </c>
      <c r="U90" s="1">
        <v>125</v>
      </c>
      <c r="V90" s="1">
        <v>5</v>
      </c>
    </row>
    <row r="91" spans="1:22" ht="15.75" customHeight="1" x14ac:dyDescent="0.3">
      <c r="A91" s="16"/>
      <c r="B91" s="14"/>
      <c r="C91" s="15"/>
      <c r="D91" s="18"/>
      <c r="E91" s="101" t="s">
        <v>220</v>
      </c>
      <c r="F91" s="145"/>
      <c r="G91" s="180">
        <v>6</v>
      </c>
      <c r="H91" s="96">
        <f>SUM(F91:G91)</f>
        <v>6</v>
      </c>
      <c r="I91" s="97"/>
      <c r="J91" s="97"/>
      <c r="K91" s="97"/>
      <c r="L91" s="97"/>
      <c r="M91" s="97"/>
      <c r="N91" s="35"/>
      <c r="O91" s="36"/>
      <c r="P91" s="167">
        <f t="shared" si="24"/>
        <v>26999999.999999996</v>
      </c>
      <c r="Q91" s="16"/>
      <c r="R91" s="1" t="s">
        <v>312</v>
      </c>
    </row>
    <row r="92" spans="1:22" ht="24" customHeight="1" x14ac:dyDescent="0.3">
      <c r="A92" s="16"/>
      <c r="B92" s="14" t="s">
        <v>60</v>
      </c>
      <c r="C92" s="15" t="s">
        <v>43</v>
      </c>
      <c r="D92" s="26">
        <v>455.8</v>
      </c>
      <c r="E92" s="101" t="s">
        <v>221</v>
      </c>
      <c r="F92" s="96">
        <f>7%*D92</f>
        <v>31.906000000000002</v>
      </c>
      <c r="G92" s="180">
        <v>0</v>
      </c>
      <c r="H92" s="96">
        <f t="shared" si="23"/>
        <v>31.906000000000002</v>
      </c>
      <c r="I92" s="97">
        <v>0</v>
      </c>
      <c r="J92" s="97"/>
      <c r="K92" s="97">
        <v>0</v>
      </c>
      <c r="L92" s="97">
        <v>5</v>
      </c>
      <c r="M92" s="97">
        <f>SUM(I92:L92)</f>
        <v>5</v>
      </c>
      <c r="N92" s="35"/>
      <c r="O92" s="36"/>
      <c r="P92" s="167">
        <f t="shared" si="24"/>
        <v>0</v>
      </c>
      <c r="Q92" s="16"/>
      <c r="R92" s="1">
        <v>300</v>
      </c>
    </row>
    <row r="93" spans="1:22" ht="20.25" customHeight="1" x14ac:dyDescent="0.3">
      <c r="A93" s="16"/>
      <c r="B93" s="14"/>
      <c r="C93" s="15"/>
      <c r="D93" s="26"/>
      <c r="E93" s="101" t="s">
        <v>220</v>
      </c>
      <c r="F93" s="96"/>
      <c r="G93" s="181">
        <f>13%*D92</f>
        <v>59.254000000000005</v>
      </c>
      <c r="H93" s="96">
        <f>SUM(F93:G93)</f>
        <v>59.254000000000005</v>
      </c>
      <c r="I93" s="97"/>
      <c r="J93" s="97"/>
      <c r="K93" s="97"/>
      <c r="L93" s="97"/>
      <c r="M93" s="97"/>
      <c r="N93" s="35"/>
      <c r="O93" s="36"/>
      <c r="P93" s="167">
        <f t="shared" si="24"/>
        <v>266642999.99999997</v>
      </c>
      <c r="Q93" s="16"/>
      <c r="R93" s="165" t="s">
        <v>318</v>
      </c>
    </row>
    <row r="94" spans="1:22" ht="23.25" customHeight="1" x14ac:dyDescent="0.3">
      <c r="A94" s="16"/>
      <c r="B94" s="14" t="s">
        <v>61</v>
      </c>
      <c r="C94" s="15" t="s">
        <v>44</v>
      </c>
      <c r="D94" s="26">
        <v>87.95</v>
      </c>
      <c r="E94" s="101" t="s">
        <v>203</v>
      </c>
      <c r="F94" s="26">
        <f>9%*D94</f>
        <v>7.9154999999999998</v>
      </c>
      <c r="G94" s="182">
        <v>0</v>
      </c>
      <c r="H94" s="26">
        <f t="shared" si="23"/>
        <v>7.9154999999999998</v>
      </c>
      <c r="I94" s="19">
        <v>0</v>
      </c>
      <c r="J94" s="19"/>
      <c r="K94" s="19">
        <v>2</v>
      </c>
      <c r="L94" s="19">
        <v>3</v>
      </c>
      <c r="M94" s="19">
        <f t="shared" ref="M94:M96" si="25">SUM(I94:L94)</f>
        <v>5</v>
      </c>
      <c r="N94" s="35"/>
      <c r="O94" s="36"/>
      <c r="P94" s="167">
        <f t="shared" si="24"/>
        <v>0</v>
      </c>
      <c r="Q94" s="16"/>
      <c r="R94" s="1" t="s">
        <v>335</v>
      </c>
      <c r="S94" s="1" t="s">
        <v>338</v>
      </c>
    </row>
    <row r="95" spans="1:22" ht="18.75" customHeight="1" x14ac:dyDescent="0.3">
      <c r="A95" s="16"/>
      <c r="B95" s="14"/>
      <c r="C95" s="15"/>
      <c r="D95" s="26"/>
      <c r="E95" s="101" t="s">
        <v>220</v>
      </c>
      <c r="F95" s="26"/>
      <c r="G95" s="183">
        <f>9%*D94</f>
        <v>7.9154999999999998</v>
      </c>
      <c r="H95" s="26">
        <f>SUM(F95:G95)</f>
        <v>7.9154999999999998</v>
      </c>
      <c r="I95" s="97">
        <v>0</v>
      </c>
      <c r="J95" s="97">
        <v>0</v>
      </c>
      <c r="K95" s="97">
        <v>0</v>
      </c>
      <c r="L95" s="97">
        <v>0</v>
      </c>
      <c r="M95" s="97">
        <f t="shared" si="25"/>
        <v>0</v>
      </c>
      <c r="N95" s="35"/>
      <c r="O95" s="36"/>
      <c r="P95" s="167">
        <f t="shared" si="24"/>
        <v>35619750</v>
      </c>
      <c r="Q95" s="16"/>
    </row>
    <row r="96" spans="1:22" ht="7.5" customHeight="1" x14ac:dyDescent="0.3">
      <c r="A96" s="87"/>
      <c r="B96" s="55"/>
      <c r="C96" s="56"/>
      <c r="D96" s="57"/>
      <c r="E96" s="132"/>
      <c r="F96" s="124"/>
      <c r="G96" s="124"/>
      <c r="H96" s="124">
        <f>SUM(F96:G96)</f>
        <v>0</v>
      </c>
      <c r="I96" s="133">
        <v>0</v>
      </c>
      <c r="J96" s="133">
        <v>0</v>
      </c>
      <c r="K96" s="133">
        <v>0</v>
      </c>
      <c r="L96" s="133">
        <v>0</v>
      </c>
      <c r="M96" s="133">
        <f t="shared" si="25"/>
        <v>0</v>
      </c>
      <c r="N96" s="80"/>
      <c r="O96" s="81"/>
      <c r="P96" s="81"/>
      <c r="Q96" s="87"/>
    </row>
    <row r="97" spans="1:23" ht="18.75" customHeight="1" x14ac:dyDescent="0.3">
      <c r="A97" s="75"/>
      <c r="B97" s="71"/>
      <c r="C97" s="72" t="s">
        <v>350</v>
      </c>
      <c r="D97" s="73">
        <f>SUM(D86:D96)</f>
        <v>1246.1500000000001</v>
      </c>
      <c r="E97" s="74"/>
      <c r="F97" s="73">
        <f>SUM(F85:F96)</f>
        <v>91.944000000000003</v>
      </c>
      <c r="G97" s="83">
        <f>SUM(G85:G96)</f>
        <v>78.169499999999999</v>
      </c>
      <c r="H97" s="73">
        <f>SUM(H85:H96)</f>
        <v>170.11350000000004</v>
      </c>
      <c r="I97" s="83">
        <f>SUM(I86:I96)</f>
        <v>0</v>
      </c>
      <c r="J97" s="83">
        <f>SUM(J86:J96)</f>
        <v>0</v>
      </c>
      <c r="K97" s="83">
        <f>SUM(K86:K96)</f>
        <v>3</v>
      </c>
      <c r="L97" s="83">
        <f>SUM(L86:L96)</f>
        <v>21</v>
      </c>
      <c r="M97" s="83">
        <f>SUM(M85:M96)</f>
        <v>24</v>
      </c>
      <c r="N97" s="71"/>
      <c r="O97" s="72"/>
      <c r="P97" s="168">
        <f>SUM(P88:P96)</f>
        <v>351762749.99999994</v>
      </c>
      <c r="Q97" s="75"/>
      <c r="R97" s="2">
        <f>P97/D97</f>
        <v>282279.62123339879</v>
      </c>
    </row>
    <row r="98" spans="1:23" ht="20.25" customHeight="1" x14ac:dyDescent="0.3">
      <c r="A98" s="177"/>
      <c r="B98" s="177"/>
      <c r="C98" s="177"/>
      <c r="D98" s="177"/>
      <c r="E98" s="177"/>
      <c r="F98" s="178"/>
      <c r="G98" s="178"/>
      <c r="H98" s="178"/>
      <c r="I98" s="178"/>
      <c r="J98" s="178"/>
      <c r="K98" s="178"/>
      <c r="L98" s="178"/>
      <c r="M98" s="178"/>
      <c r="N98" s="177"/>
      <c r="O98" s="177"/>
      <c r="P98" s="179"/>
      <c r="Q98" s="177"/>
    </row>
    <row r="99" spans="1:23" ht="8.25" customHeight="1" x14ac:dyDescent="0.3">
      <c r="F99" s="2"/>
      <c r="G99" s="2"/>
      <c r="H99" s="2"/>
      <c r="I99" s="2"/>
      <c r="J99" s="2"/>
      <c r="K99" s="2"/>
      <c r="L99" s="2"/>
      <c r="M99" s="2"/>
    </row>
    <row r="100" spans="1:23" ht="14.25" customHeight="1" x14ac:dyDescent="0.3">
      <c r="F100" s="2"/>
      <c r="G100" s="2"/>
      <c r="H100" s="2"/>
      <c r="I100" s="2"/>
      <c r="J100" s="2" t="s">
        <v>253</v>
      </c>
      <c r="K100" s="2"/>
      <c r="L100" s="2"/>
      <c r="M100" s="2"/>
      <c r="S100" s="1" t="s">
        <v>310</v>
      </c>
      <c r="T100" s="1" t="s">
        <v>311</v>
      </c>
      <c r="U100" s="1">
        <v>1111</v>
      </c>
      <c r="V100" s="1">
        <v>278</v>
      </c>
      <c r="W100" s="1">
        <v>2500</v>
      </c>
    </row>
    <row r="101" spans="1:23" ht="12" customHeight="1" x14ac:dyDescent="0.3">
      <c r="A101" s="395" t="s">
        <v>80</v>
      </c>
      <c r="B101" s="395"/>
      <c r="C101" s="395"/>
      <c r="D101" s="395"/>
    </row>
    <row r="102" spans="1:23" x14ac:dyDescent="0.3">
      <c r="A102" s="395" t="s">
        <v>81</v>
      </c>
      <c r="B102" s="395"/>
      <c r="C102" s="395"/>
      <c r="D102" s="395"/>
      <c r="J102" s="1" t="s">
        <v>85</v>
      </c>
    </row>
    <row r="103" spans="1:23" x14ac:dyDescent="0.3">
      <c r="A103" s="395" t="s">
        <v>82</v>
      </c>
      <c r="B103" s="395"/>
      <c r="C103" s="395"/>
      <c r="D103" s="395"/>
      <c r="J103" s="3" t="s">
        <v>86</v>
      </c>
      <c r="K103" s="1" t="s">
        <v>87</v>
      </c>
      <c r="O103" s="1" t="s">
        <v>90</v>
      </c>
    </row>
    <row r="104" spans="1:23" x14ac:dyDescent="0.3">
      <c r="A104" s="395" t="s">
        <v>83</v>
      </c>
      <c r="B104" s="395"/>
      <c r="C104" s="395"/>
      <c r="D104" s="395"/>
      <c r="K104" s="1" t="s">
        <v>91</v>
      </c>
    </row>
    <row r="105" spans="1:23" ht="13.5" customHeight="1" x14ac:dyDescent="0.3"/>
    <row r="106" spans="1:23" x14ac:dyDescent="0.3">
      <c r="J106" s="3" t="s">
        <v>88</v>
      </c>
      <c r="K106" s="1" t="s">
        <v>89</v>
      </c>
      <c r="O106" s="1" t="s">
        <v>90</v>
      </c>
    </row>
    <row r="107" spans="1:23" x14ac:dyDescent="0.3">
      <c r="K107" s="1" t="s">
        <v>92</v>
      </c>
    </row>
    <row r="108" spans="1:23" x14ac:dyDescent="0.3">
      <c r="A108" s="398" t="s">
        <v>175</v>
      </c>
      <c r="B108" s="398"/>
      <c r="C108" s="398"/>
      <c r="D108" s="398"/>
    </row>
    <row r="109" spans="1:23" x14ac:dyDescent="0.3">
      <c r="A109" s="395" t="s">
        <v>190</v>
      </c>
      <c r="B109" s="395"/>
      <c r="C109" s="395"/>
      <c r="D109" s="395"/>
      <c r="J109" s="1" t="s">
        <v>254</v>
      </c>
      <c r="K109" s="1" t="s">
        <v>255</v>
      </c>
      <c r="O109" s="1" t="s">
        <v>90</v>
      </c>
    </row>
    <row r="110" spans="1:23" x14ac:dyDescent="0.3">
      <c r="K110" s="1" t="s">
        <v>256</v>
      </c>
    </row>
  </sheetData>
  <mergeCells count="21">
    <mergeCell ref="A1:Q1"/>
    <mergeCell ref="A6:A7"/>
    <mergeCell ref="B6:C6"/>
    <mergeCell ref="D6:D7"/>
    <mergeCell ref="E6:E7"/>
    <mergeCell ref="F6:H6"/>
    <mergeCell ref="I6:M6"/>
    <mergeCell ref="N6:O7"/>
    <mergeCell ref="Q6:Q7"/>
    <mergeCell ref="B7:C7"/>
    <mergeCell ref="A2:Q2"/>
    <mergeCell ref="P6:P7"/>
    <mergeCell ref="B24:C24"/>
    <mergeCell ref="B31:C31"/>
    <mergeCell ref="A109:D109"/>
    <mergeCell ref="O26:O30"/>
    <mergeCell ref="A101:D101"/>
    <mergeCell ref="A102:D102"/>
    <mergeCell ref="A103:D103"/>
    <mergeCell ref="A104:D104"/>
    <mergeCell ref="A108:D108"/>
  </mergeCells>
  <pageMargins left="0.44" right="0.70866141732283472" top="0.39" bottom="0.74803149606299213" header="0.25" footer="0.31496062992125984"/>
  <pageSetup paperSize="5" scale="90" orientation="landscape" horizontalDpi="4294967293"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U116"/>
  <sheetViews>
    <sheetView view="pageBreakPreview" topLeftCell="A19" zoomScale="96" zoomScaleNormal="100" zoomScaleSheetLayoutView="96" workbookViewId="0">
      <selection activeCell="Q55" sqref="Q55"/>
    </sheetView>
  </sheetViews>
  <sheetFormatPr defaultColWidth="9.1796875" defaultRowHeight="14" x14ac:dyDescent="0.3"/>
  <cols>
    <col min="1" max="1" width="9" style="1" customWidth="1"/>
    <col min="2" max="2" width="2.1796875" style="1" customWidth="1"/>
    <col min="3" max="3" width="16.54296875" style="1" customWidth="1"/>
    <col min="4" max="4" width="10" style="1" customWidth="1"/>
    <col min="5" max="5" width="22" style="1" customWidth="1"/>
    <col min="6" max="6" width="10" style="1" bestFit="1" customWidth="1"/>
    <col min="7" max="7" width="8.81640625" style="1" customWidth="1"/>
    <col min="8" max="8" width="9" style="1" customWidth="1"/>
    <col min="9" max="9" width="6.7265625" style="1" customWidth="1"/>
    <col min="10" max="10" width="7" style="1" customWidth="1"/>
    <col min="11" max="12" width="7.54296875" style="1" customWidth="1"/>
    <col min="13" max="13" width="6.81640625" style="1" bestFit="1" customWidth="1"/>
    <col min="14" max="14" width="2.1796875" style="1" customWidth="1"/>
    <col min="15" max="15" width="20.1796875" style="1" customWidth="1"/>
    <col min="16" max="16" width="14.1796875" style="1" customWidth="1"/>
    <col min="17" max="17" width="10.26953125" style="1" customWidth="1"/>
    <col min="18" max="16384" width="9.1796875" style="1"/>
  </cols>
  <sheetData>
    <row r="1" spans="1:20" x14ac:dyDescent="0.3">
      <c r="A1" s="385" t="s">
        <v>260</v>
      </c>
      <c r="B1" s="385"/>
      <c r="C1" s="385"/>
      <c r="D1" s="385"/>
      <c r="E1" s="385"/>
      <c r="F1" s="385"/>
      <c r="G1" s="385"/>
      <c r="H1" s="385"/>
      <c r="I1" s="385"/>
      <c r="J1" s="385"/>
      <c r="K1" s="385"/>
      <c r="L1" s="385"/>
      <c r="M1" s="385"/>
      <c r="N1" s="385"/>
      <c r="O1" s="385"/>
      <c r="P1" s="385"/>
      <c r="Q1" s="385"/>
    </row>
    <row r="2" spans="1:20" ht="14.25" customHeight="1" x14ac:dyDescent="0.3">
      <c r="A2" s="385" t="s">
        <v>261</v>
      </c>
      <c r="B2" s="385"/>
      <c r="C2" s="385"/>
      <c r="D2" s="385"/>
      <c r="E2" s="385"/>
      <c r="F2" s="385"/>
      <c r="G2" s="385"/>
      <c r="H2" s="385"/>
      <c r="I2" s="385"/>
      <c r="J2" s="385"/>
      <c r="K2" s="385"/>
      <c r="L2" s="385"/>
      <c r="M2" s="385"/>
      <c r="N2" s="385"/>
      <c r="O2" s="385"/>
      <c r="P2" s="385"/>
      <c r="Q2" s="385"/>
    </row>
    <row r="3" spans="1:20" ht="14.25" customHeight="1" x14ac:dyDescent="0.3">
      <c r="A3" s="1" t="s">
        <v>1</v>
      </c>
      <c r="B3" s="1" t="s">
        <v>78</v>
      </c>
      <c r="C3" s="1" t="s">
        <v>77</v>
      </c>
    </row>
    <row r="4" spans="1:20" ht="14.25" customHeight="1" x14ac:dyDescent="0.3">
      <c r="A4" s="1" t="s">
        <v>2</v>
      </c>
      <c r="B4" s="1" t="s">
        <v>78</v>
      </c>
      <c r="C4" s="4" t="s">
        <v>276</v>
      </c>
    </row>
    <row r="6" spans="1:20" x14ac:dyDescent="0.3">
      <c r="A6" s="386" t="s">
        <v>3</v>
      </c>
      <c r="B6" s="388" t="s">
        <v>4</v>
      </c>
      <c r="C6" s="388"/>
      <c r="D6" s="389" t="s">
        <v>259</v>
      </c>
      <c r="E6" s="391" t="s">
        <v>7</v>
      </c>
      <c r="F6" s="393" t="s">
        <v>170</v>
      </c>
      <c r="G6" s="393"/>
      <c r="H6" s="393"/>
      <c r="I6" s="393" t="s">
        <v>12</v>
      </c>
      <c r="J6" s="393"/>
      <c r="K6" s="393"/>
      <c r="L6" s="393"/>
      <c r="M6" s="393"/>
      <c r="N6" s="391" t="s">
        <v>17</v>
      </c>
      <c r="O6" s="391"/>
      <c r="P6" s="391" t="s">
        <v>258</v>
      </c>
      <c r="Q6" s="386" t="s">
        <v>192</v>
      </c>
    </row>
    <row r="7" spans="1:20" x14ac:dyDescent="0.3">
      <c r="A7" s="387"/>
      <c r="B7" s="394" t="s">
        <v>5</v>
      </c>
      <c r="C7" s="394"/>
      <c r="D7" s="390"/>
      <c r="E7" s="392"/>
      <c r="F7" s="147" t="s">
        <v>9</v>
      </c>
      <c r="G7" s="147" t="s">
        <v>10</v>
      </c>
      <c r="H7" s="147" t="s">
        <v>11</v>
      </c>
      <c r="I7" s="147" t="s">
        <v>16</v>
      </c>
      <c r="J7" s="147" t="s">
        <v>13</v>
      </c>
      <c r="K7" s="147" t="s">
        <v>14</v>
      </c>
      <c r="L7" s="148" t="s">
        <v>257</v>
      </c>
      <c r="M7" s="147" t="s">
        <v>11</v>
      </c>
      <c r="N7" s="392"/>
      <c r="O7" s="392"/>
      <c r="P7" s="392"/>
      <c r="Q7" s="387"/>
    </row>
    <row r="8" spans="1:20" ht="9" customHeight="1" x14ac:dyDescent="0.3">
      <c r="A8" s="5"/>
      <c r="B8" s="8"/>
      <c r="C8" s="10"/>
      <c r="D8" s="5"/>
      <c r="E8" s="5"/>
      <c r="F8" s="5"/>
      <c r="G8" s="5"/>
      <c r="H8" s="5"/>
      <c r="I8" s="5"/>
      <c r="J8" s="5"/>
      <c r="K8" s="5"/>
      <c r="L8" s="5"/>
      <c r="M8" s="5"/>
      <c r="N8" s="8"/>
      <c r="O8" s="10"/>
      <c r="P8" s="10"/>
      <c r="Q8" s="5"/>
    </row>
    <row r="9" spans="1:20" ht="18.75" customHeight="1" x14ac:dyDescent="0.3">
      <c r="A9" s="13">
        <v>1</v>
      </c>
      <c r="B9" s="14" t="s">
        <v>20</v>
      </c>
      <c r="C9" s="15"/>
      <c r="D9" s="16"/>
      <c r="E9" s="47"/>
      <c r="F9" s="16"/>
      <c r="G9" s="16"/>
      <c r="H9" s="16"/>
      <c r="I9" s="16"/>
      <c r="J9" s="16"/>
      <c r="K9" s="16"/>
      <c r="L9" s="16"/>
      <c r="M9" s="16"/>
      <c r="N9" s="35"/>
      <c r="O9" s="36"/>
      <c r="P9" s="36"/>
      <c r="Q9" s="16"/>
    </row>
    <row r="10" spans="1:20" ht="18.75" customHeight="1" x14ac:dyDescent="0.3">
      <c r="A10" s="13"/>
      <c r="B10" s="17" t="s">
        <v>57</v>
      </c>
      <c r="C10" s="15" t="s">
        <v>21</v>
      </c>
      <c r="D10" s="18">
        <v>418.06</v>
      </c>
      <c r="E10" s="47" t="s">
        <v>36</v>
      </c>
      <c r="F10" s="26">
        <f>2%*D10</f>
        <v>8.3612000000000002</v>
      </c>
      <c r="G10" s="26">
        <f>2%*D10</f>
        <v>8.3612000000000002</v>
      </c>
      <c r="H10" s="26">
        <f>SUM(F10:G10)</f>
        <v>16.7224</v>
      </c>
      <c r="I10" s="19">
        <v>0</v>
      </c>
      <c r="J10" s="19"/>
      <c r="K10" s="19">
        <v>4</v>
      </c>
      <c r="L10" s="19">
        <v>2</v>
      </c>
      <c r="M10" s="20">
        <f>SUM(I10:L10)</f>
        <v>6</v>
      </c>
      <c r="N10" s="37"/>
      <c r="O10" s="36"/>
      <c r="P10" s="161"/>
      <c r="Q10" s="16"/>
      <c r="S10" s="1" t="s">
        <v>333</v>
      </c>
      <c r="T10" s="1" t="s">
        <v>334</v>
      </c>
    </row>
    <row r="11" spans="1:20" ht="18.75" customHeight="1" x14ac:dyDescent="0.3">
      <c r="A11" s="13"/>
      <c r="B11" s="14"/>
      <c r="C11" s="15"/>
      <c r="D11" s="18"/>
      <c r="E11" s="47" t="s">
        <v>37</v>
      </c>
      <c r="F11" s="26">
        <f>5%*D10</f>
        <v>20.903000000000002</v>
      </c>
      <c r="G11" s="26">
        <f>1%*D10</f>
        <v>4.1806000000000001</v>
      </c>
      <c r="H11" s="26">
        <f>SUM(F11:G11)</f>
        <v>25.083600000000004</v>
      </c>
      <c r="I11" s="19">
        <v>0</v>
      </c>
      <c r="J11" s="19"/>
      <c r="K11" s="19"/>
      <c r="L11" s="19">
        <v>3</v>
      </c>
      <c r="M11" s="20">
        <f t="shared" ref="M11:M23" si="0">SUM(I11:L11)</f>
        <v>3</v>
      </c>
      <c r="N11" s="37" t="s">
        <v>51</v>
      </c>
      <c r="O11" s="38" t="s">
        <v>50</v>
      </c>
      <c r="P11" s="161"/>
      <c r="Q11" s="16"/>
    </row>
    <row r="12" spans="1:20" ht="18.75" customHeight="1" x14ac:dyDescent="0.3">
      <c r="A12" s="13"/>
      <c r="B12" s="14"/>
      <c r="C12" s="15"/>
      <c r="D12" s="18"/>
      <c r="E12" s="47" t="s">
        <v>38</v>
      </c>
      <c r="F12" s="26">
        <f>3%*D10</f>
        <v>12.5418</v>
      </c>
      <c r="G12" s="26">
        <f>2%*D10</f>
        <v>8.3612000000000002</v>
      </c>
      <c r="H12" s="26">
        <f>SUM(F12:G12)</f>
        <v>20.902999999999999</v>
      </c>
      <c r="I12" s="19">
        <v>0</v>
      </c>
      <c r="J12" s="19"/>
      <c r="K12" s="19">
        <v>4</v>
      </c>
      <c r="L12" s="19">
        <v>1</v>
      </c>
      <c r="M12" s="20">
        <f t="shared" si="0"/>
        <v>5</v>
      </c>
      <c r="N12" s="37" t="s">
        <v>51</v>
      </c>
      <c r="O12" s="36" t="s">
        <v>49</v>
      </c>
      <c r="P12" s="161"/>
      <c r="Q12" s="16"/>
    </row>
    <row r="13" spans="1:20" ht="28.5" customHeight="1" x14ac:dyDescent="0.3">
      <c r="A13" s="13"/>
      <c r="B13" s="14"/>
      <c r="C13" s="15"/>
      <c r="D13" s="18"/>
      <c r="E13" s="48" t="s">
        <v>39</v>
      </c>
      <c r="F13" s="26">
        <f>25%*D10</f>
        <v>104.515</v>
      </c>
      <c r="G13" s="26">
        <f>3%*D10</f>
        <v>12.5418</v>
      </c>
      <c r="H13" s="26">
        <f>SUM(F13:G13)</f>
        <v>117.0568</v>
      </c>
      <c r="I13" s="22">
        <v>0</v>
      </c>
      <c r="J13" s="22">
        <v>0</v>
      </c>
      <c r="K13" s="22">
        <v>0</v>
      </c>
      <c r="L13" s="22">
        <v>2</v>
      </c>
      <c r="M13" s="23">
        <f t="shared" si="0"/>
        <v>2</v>
      </c>
      <c r="N13" s="39" t="s">
        <v>51</v>
      </c>
      <c r="O13" s="40" t="s">
        <v>48</v>
      </c>
      <c r="P13" s="161"/>
      <c r="Q13" s="16"/>
    </row>
    <row r="14" spans="1:20" ht="18.75" customHeight="1" x14ac:dyDescent="0.3">
      <c r="A14" s="13"/>
      <c r="B14" s="17" t="s">
        <v>58</v>
      </c>
      <c r="C14" s="15" t="s">
        <v>22</v>
      </c>
      <c r="D14" s="18">
        <v>827.82</v>
      </c>
      <c r="E14" s="47" t="s">
        <v>36</v>
      </c>
      <c r="F14" s="26">
        <f>5%*D14</f>
        <v>41.391000000000005</v>
      </c>
      <c r="G14" s="26">
        <f>3%*D14</f>
        <v>24.834600000000002</v>
      </c>
      <c r="H14" s="26">
        <f>SUM(F14:G14)</f>
        <v>66.225600000000014</v>
      </c>
      <c r="I14" s="19">
        <v>0</v>
      </c>
      <c r="J14" s="19"/>
      <c r="K14" s="19">
        <v>5</v>
      </c>
      <c r="L14" s="19">
        <v>4</v>
      </c>
      <c r="M14" s="20">
        <f t="shared" si="0"/>
        <v>9</v>
      </c>
      <c r="N14" s="35" t="s">
        <v>51</v>
      </c>
      <c r="O14" s="41" t="s">
        <v>137</v>
      </c>
      <c r="P14" s="161"/>
      <c r="Q14" s="16"/>
    </row>
    <row r="15" spans="1:20" ht="18.75" customHeight="1" x14ac:dyDescent="0.3">
      <c r="A15" s="13"/>
      <c r="B15" s="14"/>
      <c r="C15" s="15"/>
      <c r="D15" s="26"/>
      <c r="E15" s="47" t="s">
        <v>37</v>
      </c>
      <c r="F15" s="26">
        <f>3%*D14</f>
        <v>24.834600000000002</v>
      </c>
      <c r="G15" s="26">
        <f>2%*D14</f>
        <v>16.5564</v>
      </c>
      <c r="H15" s="26">
        <f t="shared" ref="H15:H17" si="1">SUM(F15:G15)</f>
        <v>41.391000000000005</v>
      </c>
      <c r="I15" s="19">
        <v>0</v>
      </c>
      <c r="J15" s="19"/>
      <c r="K15" s="19">
        <v>5</v>
      </c>
      <c r="L15" s="19">
        <v>4</v>
      </c>
      <c r="M15" s="20">
        <f t="shared" si="0"/>
        <v>9</v>
      </c>
      <c r="N15" s="35"/>
      <c r="O15" s="36"/>
      <c r="P15" s="161"/>
      <c r="Q15" s="16"/>
    </row>
    <row r="16" spans="1:20" ht="18.75" customHeight="1" x14ac:dyDescent="0.3">
      <c r="A16" s="13"/>
      <c r="B16" s="14"/>
      <c r="C16" s="15"/>
      <c r="D16" s="26"/>
      <c r="E16" s="47" t="s">
        <v>38</v>
      </c>
      <c r="F16" s="26">
        <f>4%*D14</f>
        <v>33.1128</v>
      </c>
      <c r="G16" s="26">
        <f>3%*D14</f>
        <v>24.834600000000002</v>
      </c>
      <c r="H16" s="26">
        <f t="shared" si="1"/>
        <v>57.947400000000002</v>
      </c>
      <c r="I16" s="19">
        <v>0</v>
      </c>
      <c r="J16" s="19"/>
      <c r="K16" s="19">
        <v>5</v>
      </c>
      <c r="L16" s="19">
        <v>4</v>
      </c>
      <c r="M16" s="20">
        <f t="shared" si="0"/>
        <v>9</v>
      </c>
      <c r="N16" s="35"/>
      <c r="O16" s="36"/>
      <c r="P16" s="161"/>
      <c r="Q16" s="16"/>
    </row>
    <row r="17" spans="1:17" ht="29.25" customHeight="1" x14ac:dyDescent="0.3">
      <c r="A17" s="54"/>
      <c r="B17" s="55"/>
      <c r="C17" s="56"/>
      <c r="D17" s="57"/>
      <c r="E17" s="58" t="s">
        <v>39</v>
      </c>
      <c r="F17" s="119">
        <f>6%*D14</f>
        <v>49.669200000000004</v>
      </c>
      <c r="G17" s="119">
        <f>8%*D14</f>
        <v>66.2256</v>
      </c>
      <c r="H17" s="119">
        <f t="shared" si="1"/>
        <v>115.8948</v>
      </c>
      <c r="I17" s="59">
        <v>0</v>
      </c>
      <c r="J17" s="59">
        <v>0</v>
      </c>
      <c r="K17" s="59">
        <v>0</v>
      </c>
      <c r="L17" s="59">
        <v>4</v>
      </c>
      <c r="M17" s="60">
        <f t="shared" si="0"/>
        <v>4</v>
      </c>
      <c r="N17" s="42"/>
      <c r="O17" s="38"/>
      <c r="P17" s="161"/>
      <c r="Q17" s="29"/>
    </row>
    <row r="18" spans="1:17" ht="15" customHeight="1" x14ac:dyDescent="0.3">
      <c r="A18" s="54"/>
      <c r="B18" s="55" t="s">
        <v>59</v>
      </c>
      <c r="C18" s="56" t="s">
        <v>27</v>
      </c>
      <c r="D18" s="18">
        <v>113.45</v>
      </c>
      <c r="E18" s="47" t="s">
        <v>36</v>
      </c>
      <c r="F18" s="26">
        <f>50%*D18</f>
        <v>56.725000000000001</v>
      </c>
      <c r="G18" s="26">
        <f>4%*D18</f>
        <v>4.5380000000000003</v>
      </c>
      <c r="H18" s="26">
        <f>SUM(F18:G18)</f>
        <v>61.263000000000005</v>
      </c>
      <c r="I18" s="19">
        <v>0</v>
      </c>
      <c r="J18" s="19"/>
      <c r="K18" s="19">
        <v>3</v>
      </c>
      <c r="L18" s="19"/>
      <c r="M18" s="20">
        <f t="shared" si="0"/>
        <v>3</v>
      </c>
      <c r="N18" s="42"/>
      <c r="O18" s="38"/>
      <c r="P18" s="161"/>
      <c r="Q18" s="29"/>
    </row>
    <row r="19" spans="1:17" ht="15" customHeight="1" x14ac:dyDescent="0.3">
      <c r="A19" s="54"/>
      <c r="B19" s="55"/>
      <c r="C19" s="56"/>
      <c r="D19" s="26"/>
      <c r="E19" s="47" t="s">
        <v>37</v>
      </c>
      <c r="F19" s="26">
        <f>2%*D18</f>
        <v>2.2690000000000001</v>
      </c>
      <c r="G19" s="26">
        <f>5%*D18</f>
        <v>5.6725000000000003</v>
      </c>
      <c r="H19" s="26">
        <f t="shared" ref="H19:H20" si="2">SUM(F19:G19)</f>
        <v>7.9415000000000004</v>
      </c>
      <c r="I19" s="19">
        <v>0</v>
      </c>
      <c r="J19" s="19"/>
      <c r="K19" s="19">
        <v>4</v>
      </c>
      <c r="L19" s="19">
        <v>1</v>
      </c>
      <c r="M19" s="20">
        <f t="shared" si="0"/>
        <v>5</v>
      </c>
      <c r="N19" s="42"/>
      <c r="O19" s="38"/>
      <c r="P19" s="161"/>
      <c r="Q19" s="29"/>
    </row>
    <row r="20" spans="1:17" ht="14.25" customHeight="1" x14ac:dyDescent="0.3">
      <c r="A20" s="54"/>
      <c r="B20" s="55"/>
      <c r="C20" s="56"/>
      <c r="D20" s="26"/>
      <c r="E20" s="47" t="s">
        <v>38</v>
      </c>
      <c r="F20" s="26">
        <f>2%*D18</f>
        <v>2.2690000000000001</v>
      </c>
      <c r="G20" s="26">
        <f>30%*D18</f>
        <v>34.034999999999997</v>
      </c>
      <c r="H20" s="26">
        <f t="shared" si="2"/>
        <v>36.303999999999995</v>
      </c>
      <c r="I20" s="19">
        <v>0</v>
      </c>
      <c r="J20" s="19"/>
      <c r="K20" s="19">
        <v>3</v>
      </c>
      <c r="L20" s="19">
        <v>1</v>
      </c>
      <c r="M20" s="20">
        <f t="shared" si="0"/>
        <v>4</v>
      </c>
      <c r="N20" s="42"/>
      <c r="O20" s="38"/>
      <c r="P20" s="161"/>
      <c r="Q20" s="29"/>
    </row>
    <row r="21" spans="1:17" ht="18.75" customHeight="1" x14ac:dyDescent="0.3">
      <c r="A21" s="13"/>
      <c r="B21" s="17" t="s">
        <v>60</v>
      </c>
      <c r="C21" s="15" t="s">
        <v>42</v>
      </c>
      <c r="D21" s="18">
        <v>526.28</v>
      </c>
      <c r="E21" s="47" t="s">
        <v>36</v>
      </c>
      <c r="F21" s="26">
        <f>50%*D18</f>
        <v>56.725000000000001</v>
      </c>
      <c r="G21" s="26">
        <f>5%*D21</f>
        <v>26.314</v>
      </c>
      <c r="H21" s="26">
        <f>SUM(F21:G21)</f>
        <v>83.039000000000001</v>
      </c>
      <c r="I21" s="19">
        <v>0</v>
      </c>
      <c r="J21" s="19"/>
      <c r="K21" s="19">
        <v>4</v>
      </c>
      <c r="L21" s="19">
        <v>1</v>
      </c>
      <c r="M21" s="20">
        <f t="shared" si="0"/>
        <v>5</v>
      </c>
      <c r="N21" s="35"/>
      <c r="O21" s="36"/>
      <c r="P21" s="161"/>
      <c r="Q21" s="29"/>
    </row>
    <row r="22" spans="1:17" ht="18.75" customHeight="1" x14ac:dyDescent="0.3">
      <c r="A22" s="13"/>
      <c r="B22" s="14"/>
      <c r="C22" s="15"/>
      <c r="D22" s="26"/>
      <c r="E22" s="47" t="s">
        <v>37</v>
      </c>
      <c r="F22" s="26">
        <f>43%*D21</f>
        <v>226.3004</v>
      </c>
      <c r="G22" s="26">
        <f>3%*D21</f>
        <v>15.788399999999999</v>
      </c>
      <c r="H22" s="26">
        <f t="shared" ref="H22:H23" si="3">SUM(F22:G22)</f>
        <v>242.08879999999999</v>
      </c>
      <c r="I22" s="19">
        <v>0</v>
      </c>
      <c r="J22" s="19"/>
      <c r="K22" s="19">
        <v>3</v>
      </c>
      <c r="L22" s="19">
        <v>1</v>
      </c>
      <c r="M22" s="20">
        <f t="shared" si="0"/>
        <v>4</v>
      </c>
      <c r="N22" s="35"/>
      <c r="O22" s="36"/>
      <c r="P22" s="161"/>
      <c r="Q22" s="29"/>
    </row>
    <row r="23" spans="1:17" ht="18.75" customHeight="1" x14ac:dyDescent="0.3">
      <c r="A23" s="13"/>
      <c r="B23" s="14"/>
      <c r="C23" s="15"/>
      <c r="D23" s="26"/>
      <c r="E23" s="47" t="s">
        <v>38</v>
      </c>
      <c r="F23" s="26">
        <f>2%*D21</f>
        <v>10.525599999999999</v>
      </c>
      <c r="G23" s="26">
        <f>35%*D21</f>
        <v>184.19799999999998</v>
      </c>
      <c r="H23" s="26">
        <f t="shared" si="3"/>
        <v>194.72359999999998</v>
      </c>
      <c r="I23" s="19">
        <v>0</v>
      </c>
      <c r="J23" s="19"/>
      <c r="K23" s="19">
        <v>4</v>
      </c>
      <c r="L23" s="19">
        <v>1</v>
      </c>
      <c r="M23" s="20">
        <f t="shared" si="0"/>
        <v>5</v>
      </c>
      <c r="N23" s="80"/>
      <c r="O23" s="81"/>
      <c r="P23" s="161"/>
      <c r="Q23" s="88"/>
    </row>
    <row r="24" spans="1:17" ht="18.75" customHeight="1" x14ac:dyDescent="0.3">
      <c r="A24" s="89"/>
      <c r="B24" s="71"/>
      <c r="C24" s="72" t="s">
        <v>325</v>
      </c>
      <c r="D24" s="73">
        <f>SUM(D9:D17)</f>
        <v>1245.8800000000001</v>
      </c>
      <c r="E24" s="74"/>
      <c r="F24" s="118">
        <f>SUM(F9:F17)</f>
        <v>295.32859999999999</v>
      </c>
      <c r="G24" s="118">
        <f>SUM(G9:G17)</f>
        <v>165.89600000000002</v>
      </c>
      <c r="H24" s="118">
        <f>SUM(H9:H17)</f>
        <v>461.22460000000001</v>
      </c>
      <c r="I24" s="75">
        <f>SUM(I9:I17)</f>
        <v>0</v>
      </c>
      <c r="J24" s="75">
        <f>SUM(J9:J17)</f>
        <v>0</v>
      </c>
      <c r="K24" s="75">
        <f>SUM(K8:K23)</f>
        <v>44</v>
      </c>
      <c r="L24" s="160">
        <f>SUM(L10:L23)</f>
        <v>29</v>
      </c>
      <c r="M24" s="75">
        <f>SUM(M9:M17)</f>
        <v>47</v>
      </c>
      <c r="N24" s="76"/>
      <c r="O24" s="77"/>
      <c r="P24" s="162">
        <f>SUM(P10:P23)</f>
        <v>0</v>
      </c>
      <c r="Q24" s="75"/>
    </row>
    <row r="25" spans="1:17" ht="18.75" customHeight="1" x14ac:dyDescent="0.3">
      <c r="A25" s="63">
        <v>2</v>
      </c>
      <c r="B25" s="64" t="s">
        <v>23</v>
      </c>
      <c r="C25" s="65"/>
      <c r="D25" s="66"/>
      <c r="E25" s="67"/>
      <c r="F25" s="68"/>
      <c r="G25" s="68"/>
      <c r="H25" s="68"/>
      <c r="I25" s="68"/>
      <c r="J25" s="68"/>
      <c r="K25" s="68"/>
      <c r="L25" s="68"/>
      <c r="M25" s="68"/>
      <c r="N25" s="69"/>
      <c r="O25" s="70"/>
      <c r="P25" s="70"/>
      <c r="Q25" s="68"/>
    </row>
    <row r="26" spans="1:17" ht="18.75" customHeight="1" x14ac:dyDescent="0.3">
      <c r="A26" s="13"/>
      <c r="B26" s="14" t="s">
        <v>57</v>
      </c>
      <c r="C26" s="15" t="s">
        <v>22</v>
      </c>
      <c r="D26" s="26">
        <v>202.18</v>
      </c>
      <c r="E26" s="47" t="s">
        <v>40</v>
      </c>
      <c r="F26" s="19">
        <v>0</v>
      </c>
      <c r="G26" s="19">
        <f>3%*D26</f>
        <v>6.0654000000000003</v>
      </c>
      <c r="H26" s="19">
        <f t="shared" ref="H26" si="4">SUM(F26:G26)</f>
        <v>6.0654000000000003</v>
      </c>
      <c r="I26" s="19">
        <v>0</v>
      </c>
      <c r="J26" s="19">
        <v>0</v>
      </c>
      <c r="K26" s="19">
        <v>1</v>
      </c>
      <c r="L26" s="19">
        <v>4</v>
      </c>
      <c r="M26" s="20">
        <f t="shared" ref="M26" si="5">SUM(I26:L26)</f>
        <v>5</v>
      </c>
      <c r="N26" s="37" t="s">
        <v>51</v>
      </c>
      <c r="O26" s="404" t="s">
        <v>279</v>
      </c>
      <c r="P26" s="161"/>
      <c r="Q26" s="16"/>
    </row>
    <row r="27" spans="1:17" ht="18.75" customHeight="1" x14ac:dyDescent="0.3">
      <c r="A27" s="54"/>
      <c r="B27" s="55"/>
      <c r="C27" s="56"/>
      <c r="D27" s="57"/>
      <c r="E27" s="85" t="s">
        <v>251</v>
      </c>
      <c r="F27" s="79"/>
      <c r="G27" s="79">
        <f>1.25%*D26</f>
        <v>2.5272500000000004</v>
      </c>
      <c r="H27" s="79">
        <f>F27+G27</f>
        <v>2.5272500000000004</v>
      </c>
      <c r="I27" s="19">
        <v>0</v>
      </c>
      <c r="J27" s="19">
        <v>0</v>
      </c>
      <c r="K27" s="19">
        <v>3</v>
      </c>
      <c r="L27" s="19">
        <v>0</v>
      </c>
      <c r="M27" s="20">
        <f t="shared" ref="M27" si="6">SUM(I27:L27)</f>
        <v>3</v>
      </c>
      <c r="N27" s="37"/>
      <c r="O27" s="404"/>
      <c r="P27" s="161"/>
      <c r="Q27" s="16"/>
    </row>
    <row r="28" spans="1:17" ht="18.75" customHeight="1" x14ac:dyDescent="0.3">
      <c r="A28" s="54"/>
      <c r="B28" s="55" t="s">
        <v>58</v>
      </c>
      <c r="C28" s="56" t="s">
        <v>42</v>
      </c>
      <c r="D28" s="57">
        <v>55</v>
      </c>
      <c r="E28" s="47" t="s">
        <v>40</v>
      </c>
      <c r="F28" s="19">
        <v>0</v>
      </c>
      <c r="G28" s="19">
        <f>10%*D28</f>
        <v>5.5</v>
      </c>
      <c r="H28" s="19">
        <f t="shared" ref="H28" si="7">SUM(F28:G28)</f>
        <v>5.5</v>
      </c>
      <c r="I28" s="19">
        <v>0</v>
      </c>
      <c r="J28" s="19"/>
      <c r="K28" s="19">
        <v>3</v>
      </c>
      <c r="L28" s="19">
        <v>0</v>
      </c>
      <c r="M28" s="20">
        <f t="shared" ref="M28" si="8">SUM(I28:L28)</f>
        <v>3</v>
      </c>
      <c r="N28" s="37"/>
      <c r="O28" s="404"/>
      <c r="P28" s="161"/>
      <c r="Q28" s="16"/>
    </row>
    <row r="29" spans="1:17" ht="18.75" customHeight="1" x14ac:dyDescent="0.3">
      <c r="A29" s="54"/>
      <c r="B29" s="55"/>
      <c r="C29" s="56"/>
      <c r="D29" s="57"/>
      <c r="E29" s="85" t="s">
        <v>250</v>
      </c>
      <c r="F29" s="79"/>
      <c r="G29" s="79">
        <f>1.25%*D28</f>
        <v>0.6875</v>
      </c>
      <c r="H29" s="79">
        <f>F29+G29</f>
        <v>0.6875</v>
      </c>
      <c r="I29" s="19">
        <v>0</v>
      </c>
      <c r="J29" s="19"/>
      <c r="K29" s="19"/>
      <c r="L29" s="19">
        <v>1</v>
      </c>
      <c r="M29" s="20">
        <f t="shared" ref="M29" si="9">SUM(I29:L29)</f>
        <v>1</v>
      </c>
      <c r="N29" s="37"/>
      <c r="O29" s="404"/>
      <c r="P29" s="161"/>
      <c r="Q29" s="16"/>
    </row>
    <row r="30" spans="1:17" ht="18.75" customHeight="1" x14ac:dyDescent="0.3">
      <c r="A30" s="54"/>
      <c r="B30" s="55" t="s">
        <v>59</v>
      </c>
      <c r="C30" s="56" t="s">
        <v>21</v>
      </c>
      <c r="D30" s="57">
        <v>66.94</v>
      </c>
      <c r="E30" s="47" t="s">
        <v>40</v>
      </c>
      <c r="F30" s="19">
        <v>0</v>
      </c>
      <c r="G30" s="19">
        <f>6%*D30</f>
        <v>4.0164</v>
      </c>
      <c r="H30" s="19">
        <f t="shared" ref="H30" si="10">SUM(F30:G30)</f>
        <v>4.0164</v>
      </c>
      <c r="I30" s="19">
        <v>0</v>
      </c>
      <c r="J30" s="19">
        <v>0</v>
      </c>
      <c r="K30" s="19">
        <v>2</v>
      </c>
      <c r="L30" s="19">
        <v>2</v>
      </c>
      <c r="M30" s="20">
        <f t="shared" ref="M30" si="11">SUM(I30:L30)</f>
        <v>4</v>
      </c>
      <c r="N30" s="95"/>
      <c r="O30" s="399"/>
      <c r="P30" s="161"/>
      <c r="Q30" s="87"/>
    </row>
    <row r="31" spans="1:17" ht="18.75" customHeight="1" x14ac:dyDescent="0.3">
      <c r="A31" s="89"/>
      <c r="B31" s="71"/>
      <c r="C31" s="72" t="s">
        <v>326</v>
      </c>
      <c r="D31" s="73">
        <f>SUM(D25:D30)</f>
        <v>324.12</v>
      </c>
      <c r="E31" s="74"/>
      <c r="F31" s="83">
        <f t="shared" ref="F31:K31" si="12">SUM(F25:F30)</f>
        <v>0</v>
      </c>
      <c r="G31" s="83">
        <f t="shared" si="12"/>
        <v>18.79655</v>
      </c>
      <c r="H31" s="83">
        <f t="shared" si="12"/>
        <v>18.79655</v>
      </c>
      <c r="I31" s="83">
        <f t="shared" si="12"/>
        <v>0</v>
      </c>
      <c r="J31" s="83">
        <f t="shared" si="12"/>
        <v>0</v>
      </c>
      <c r="K31" s="83">
        <f t="shared" si="12"/>
        <v>9</v>
      </c>
      <c r="L31" s="83">
        <f>SUM(L26:L30)</f>
        <v>7</v>
      </c>
      <c r="M31" s="83">
        <f>SUM(M25:M30)</f>
        <v>16</v>
      </c>
      <c r="N31" s="76"/>
      <c r="O31" s="77"/>
      <c r="P31" s="162">
        <f>SUM(P26:P30)</f>
        <v>0</v>
      </c>
      <c r="Q31" s="75"/>
    </row>
    <row r="32" spans="1:17" ht="18.75" customHeight="1" x14ac:dyDescent="0.3">
      <c r="A32" s="63">
        <v>3</v>
      </c>
      <c r="B32" s="64" t="s">
        <v>19</v>
      </c>
      <c r="C32" s="65"/>
      <c r="D32" s="66"/>
      <c r="E32" s="67"/>
      <c r="F32" s="82"/>
      <c r="G32" s="82"/>
      <c r="H32" s="82"/>
      <c r="I32" s="82"/>
      <c r="J32" s="82"/>
      <c r="K32" s="82"/>
      <c r="L32" s="82"/>
      <c r="M32" s="82"/>
      <c r="N32" s="69"/>
      <c r="O32" s="70"/>
      <c r="P32" s="70"/>
      <c r="Q32" s="68"/>
    </row>
    <row r="33" spans="1:17" ht="15.75" customHeight="1" x14ac:dyDescent="0.3">
      <c r="A33" s="13"/>
      <c r="B33" s="14" t="s">
        <v>57</v>
      </c>
      <c r="C33" s="15" t="s">
        <v>24</v>
      </c>
      <c r="D33" s="26">
        <f>1372.4+494</f>
        <v>1866.4</v>
      </c>
      <c r="E33" s="50" t="s">
        <v>52</v>
      </c>
      <c r="F33" s="19">
        <v>0</v>
      </c>
      <c r="G33" s="26">
        <f>27%*D33</f>
        <v>503.92800000000005</v>
      </c>
      <c r="H33" s="26">
        <f>SUM(F33:G33)</f>
        <v>503.92800000000005</v>
      </c>
      <c r="I33" s="19">
        <v>0</v>
      </c>
      <c r="J33" s="19"/>
      <c r="K33" s="19">
        <v>2</v>
      </c>
      <c r="L33" s="19">
        <v>0</v>
      </c>
      <c r="M33" s="19">
        <f>SUM(I33:L33)</f>
        <v>2</v>
      </c>
      <c r="N33" s="35" t="s">
        <v>262</v>
      </c>
      <c r="O33" s="36"/>
      <c r="P33" s="161">
        <f t="shared" ref="P33:P62" si="13">G33*0.815*26%*4000000</f>
        <v>427129372.80000001</v>
      </c>
      <c r="Q33" s="16"/>
    </row>
    <row r="34" spans="1:17" ht="15" customHeight="1" x14ac:dyDescent="0.3">
      <c r="A34" s="13"/>
      <c r="B34" s="14"/>
      <c r="C34" s="15"/>
      <c r="D34" s="26"/>
      <c r="E34" s="47" t="s">
        <v>234</v>
      </c>
      <c r="F34" s="26"/>
      <c r="G34" s="26">
        <f>27%*D33</f>
        <v>503.92800000000005</v>
      </c>
      <c r="H34" s="26">
        <f>F34+G34</f>
        <v>503.92800000000005</v>
      </c>
      <c r="I34" s="19"/>
      <c r="J34" s="19"/>
      <c r="K34" s="19"/>
      <c r="L34" s="19"/>
      <c r="M34" s="19"/>
      <c r="N34" s="35" t="s">
        <v>263</v>
      </c>
      <c r="O34" s="36"/>
      <c r="P34" s="161">
        <f t="shared" si="13"/>
        <v>427129372.80000001</v>
      </c>
      <c r="Q34" s="16"/>
    </row>
    <row r="35" spans="1:17" ht="18.75" customHeight="1" x14ac:dyDescent="0.3">
      <c r="A35" s="13"/>
      <c r="B35" s="14" t="s">
        <v>58</v>
      </c>
      <c r="C35" s="15" t="s">
        <v>25</v>
      </c>
      <c r="D35" s="26">
        <f>994.7+363.2</f>
        <v>1357.9</v>
      </c>
      <c r="E35" s="50" t="s">
        <v>52</v>
      </c>
      <c r="F35" s="19">
        <v>0</v>
      </c>
      <c r="G35" s="26">
        <f>16%*D35</f>
        <v>217.26400000000001</v>
      </c>
      <c r="H35" s="26">
        <f t="shared" ref="H35:H61" si="14">SUM(F35:G35)</f>
        <v>217.26400000000001</v>
      </c>
      <c r="I35" s="19">
        <v>0</v>
      </c>
      <c r="J35" s="19"/>
      <c r="K35" s="19">
        <v>6</v>
      </c>
      <c r="L35" s="19">
        <v>0</v>
      </c>
      <c r="M35" s="19">
        <f t="shared" ref="M35:M62" si="15">SUM(I35:L35)</f>
        <v>6</v>
      </c>
      <c r="N35" s="35" t="s">
        <v>264</v>
      </c>
      <c r="O35" s="36"/>
      <c r="P35" s="161">
        <f t="shared" si="13"/>
        <v>184152966.40000001</v>
      </c>
      <c r="Q35" s="16"/>
    </row>
    <row r="36" spans="1:17" ht="17.25" customHeight="1" x14ac:dyDescent="0.3">
      <c r="A36" s="13"/>
      <c r="B36" s="14" t="s">
        <v>59</v>
      </c>
      <c r="C36" s="15" t="s">
        <v>26</v>
      </c>
      <c r="D36" s="26">
        <f>976.5+338</f>
        <v>1314.5</v>
      </c>
      <c r="E36" s="50" t="s">
        <v>52</v>
      </c>
      <c r="F36" s="19">
        <v>0</v>
      </c>
      <c r="G36" s="26">
        <f>27%*D36</f>
        <v>354.91500000000002</v>
      </c>
      <c r="H36" s="26">
        <f t="shared" si="14"/>
        <v>354.91500000000002</v>
      </c>
      <c r="I36" s="19"/>
      <c r="J36" s="19"/>
      <c r="K36" s="19">
        <v>0</v>
      </c>
      <c r="L36" s="19">
        <v>0</v>
      </c>
      <c r="M36" s="19">
        <f t="shared" si="15"/>
        <v>0</v>
      </c>
      <c r="N36" s="35" t="s">
        <v>265</v>
      </c>
      <c r="O36" s="36" t="s">
        <v>266</v>
      </c>
      <c r="P36" s="161">
        <f t="shared" si="13"/>
        <v>300825953.99999994</v>
      </c>
      <c r="Q36" s="16"/>
    </row>
    <row r="37" spans="1:17" ht="15" customHeight="1" x14ac:dyDescent="0.3">
      <c r="A37" s="13"/>
      <c r="B37" s="14" t="s">
        <v>60</v>
      </c>
      <c r="C37" s="15" t="s">
        <v>55</v>
      </c>
      <c r="D37" s="26">
        <f>291.6+46.93</f>
        <v>338.53000000000003</v>
      </c>
      <c r="E37" s="50" t="s">
        <v>52</v>
      </c>
      <c r="F37" s="19">
        <v>0</v>
      </c>
      <c r="G37" s="26">
        <f>28%*D37</f>
        <v>94.788400000000024</v>
      </c>
      <c r="H37" s="26">
        <f t="shared" si="14"/>
        <v>94.788400000000024</v>
      </c>
      <c r="I37" s="19">
        <v>0</v>
      </c>
      <c r="J37" s="19">
        <v>0</v>
      </c>
      <c r="K37" s="19">
        <v>0</v>
      </c>
      <c r="L37" s="19">
        <v>0</v>
      </c>
      <c r="M37" s="19">
        <f t="shared" si="15"/>
        <v>0</v>
      </c>
      <c r="N37" s="35"/>
      <c r="O37" s="36" t="s">
        <v>267</v>
      </c>
      <c r="P37" s="161">
        <f t="shared" si="13"/>
        <v>80342647.840000018</v>
      </c>
      <c r="Q37" s="16"/>
    </row>
    <row r="38" spans="1:17" ht="18.75" customHeight="1" x14ac:dyDescent="0.3">
      <c r="A38" s="13"/>
      <c r="B38" s="14"/>
      <c r="C38" s="15"/>
      <c r="D38" s="26"/>
      <c r="E38" s="47" t="s">
        <v>235</v>
      </c>
      <c r="F38" s="26">
        <f>4%*D37</f>
        <v>13.541200000000002</v>
      </c>
      <c r="G38" s="26">
        <f>19%*D37</f>
        <v>64.320700000000002</v>
      </c>
      <c r="H38" s="26">
        <f>SUM(F38:G38)</f>
        <v>77.861900000000006</v>
      </c>
      <c r="I38" s="19"/>
      <c r="J38" s="19"/>
      <c r="K38" s="19">
        <v>5</v>
      </c>
      <c r="L38" s="19"/>
      <c r="M38" s="19">
        <f>SUM(I38:L38)</f>
        <v>5</v>
      </c>
      <c r="N38" s="35"/>
      <c r="O38" s="36" t="s">
        <v>268</v>
      </c>
      <c r="P38" s="161">
        <f t="shared" si="13"/>
        <v>54518225.320000008</v>
      </c>
      <c r="Q38" s="16"/>
    </row>
    <row r="39" spans="1:17" ht="15" customHeight="1" x14ac:dyDescent="0.3">
      <c r="A39" s="13"/>
      <c r="B39" s="14"/>
      <c r="C39" s="15"/>
      <c r="D39" s="26"/>
      <c r="E39" s="47" t="s">
        <v>234</v>
      </c>
      <c r="F39" s="26"/>
      <c r="G39" s="26">
        <f>20%*D37</f>
        <v>67.706000000000003</v>
      </c>
      <c r="H39" s="26">
        <f>F39+G39</f>
        <v>67.706000000000003</v>
      </c>
      <c r="I39" s="19"/>
      <c r="J39" s="19"/>
      <c r="K39" s="19"/>
      <c r="L39" s="19"/>
      <c r="M39" s="19"/>
      <c r="N39" s="35"/>
      <c r="O39" s="36" t="s">
        <v>269</v>
      </c>
      <c r="P39" s="161">
        <f t="shared" si="13"/>
        <v>57387605.600000001</v>
      </c>
      <c r="Q39" s="16"/>
    </row>
    <row r="40" spans="1:17" ht="14.25" customHeight="1" x14ac:dyDescent="0.3">
      <c r="A40" s="13"/>
      <c r="B40" s="14" t="s">
        <v>61</v>
      </c>
      <c r="C40" s="15" t="s">
        <v>27</v>
      </c>
      <c r="D40" s="26">
        <f>831.5+161.25</f>
        <v>992.75</v>
      </c>
      <c r="E40" s="50" t="s">
        <v>52</v>
      </c>
      <c r="F40" s="19">
        <v>0</v>
      </c>
      <c r="G40" s="26">
        <f>21%*D40</f>
        <v>208.47749999999999</v>
      </c>
      <c r="H40" s="26">
        <f t="shared" si="14"/>
        <v>208.47749999999999</v>
      </c>
      <c r="I40" s="19">
        <v>0</v>
      </c>
      <c r="J40" s="19">
        <v>0</v>
      </c>
      <c r="K40" s="19">
        <v>0</v>
      </c>
      <c r="L40" s="19">
        <v>0</v>
      </c>
      <c r="M40" s="19">
        <f t="shared" si="15"/>
        <v>0</v>
      </c>
      <c r="N40" s="35"/>
      <c r="O40" s="36" t="s">
        <v>270</v>
      </c>
      <c r="P40" s="161">
        <f t="shared" si="13"/>
        <v>176705528.99999997</v>
      </c>
      <c r="Q40" s="16"/>
    </row>
    <row r="41" spans="1:17" ht="15" customHeight="1" x14ac:dyDescent="0.3">
      <c r="A41" s="13"/>
      <c r="B41" s="14" t="s">
        <v>62</v>
      </c>
      <c r="C41" s="15" t="s">
        <v>28</v>
      </c>
      <c r="D41" s="26">
        <f>868+618.6</f>
        <v>1486.6</v>
      </c>
      <c r="E41" s="50" t="s">
        <v>52</v>
      </c>
      <c r="F41" s="19">
        <v>0</v>
      </c>
      <c r="G41" s="26">
        <f>20%*D41</f>
        <v>297.32</v>
      </c>
      <c r="H41" s="26">
        <f t="shared" si="14"/>
        <v>297.32</v>
      </c>
      <c r="I41" s="19">
        <v>0</v>
      </c>
      <c r="J41" s="19">
        <v>0</v>
      </c>
      <c r="K41" s="19">
        <v>0</v>
      </c>
      <c r="L41" s="19">
        <v>0</v>
      </c>
      <c r="M41" s="19">
        <f t="shared" si="15"/>
        <v>0</v>
      </c>
      <c r="N41" s="35"/>
      <c r="O41" s="36"/>
      <c r="P41" s="161">
        <f t="shared" si="13"/>
        <v>252008431.99999997</v>
      </c>
      <c r="Q41" s="16"/>
    </row>
    <row r="42" spans="1:17" ht="15" customHeight="1" x14ac:dyDescent="0.3">
      <c r="A42" s="13"/>
      <c r="B42" s="14" t="s">
        <v>63</v>
      </c>
      <c r="C42" s="15" t="s">
        <v>29</v>
      </c>
      <c r="D42" s="26">
        <f>1546+278.5</f>
        <v>1824.5</v>
      </c>
      <c r="E42" s="50" t="s">
        <v>52</v>
      </c>
      <c r="F42" s="19">
        <v>0</v>
      </c>
      <c r="G42" s="26">
        <f>23%*D42</f>
        <v>419.63499999999999</v>
      </c>
      <c r="H42" s="26">
        <f t="shared" si="14"/>
        <v>419.63499999999999</v>
      </c>
      <c r="I42" s="19">
        <v>0</v>
      </c>
      <c r="J42" s="19">
        <v>0</v>
      </c>
      <c r="K42" s="19">
        <v>0</v>
      </c>
      <c r="L42" s="19">
        <v>0</v>
      </c>
      <c r="M42" s="19">
        <f t="shared" si="15"/>
        <v>0</v>
      </c>
      <c r="N42" s="35"/>
      <c r="O42" s="36"/>
      <c r="P42" s="161">
        <f t="shared" si="13"/>
        <v>355682626</v>
      </c>
      <c r="Q42" s="16"/>
    </row>
    <row r="43" spans="1:17" ht="14.25" customHeight="1" x14ac:dyDescent="0.3">
      <c r="A43" s="13"/>
      <c r="B43" s="14" t="s">
        <v>64</v>
      </c>
      <c r="C43" s="15" t="s">
        <v>56</v>
      </c>
      <c r="D43" s="26">
        <f>156.4+34.9</f>
        <v>191.3</v>
      </c>
      <c r="E43" s="50" t="s">
        <v>52</v>
      </c>
      <c r="F43" s="19">
        <v>0</v>
      </c>
      <c r="G43" s="26">
        <f>16%*D43</f>
        <v>30.608000000000004</v>
      </c>
      <c r="H43" s="26">
        <f t="shared" si="14"/>
        <v>30.608000000000004</v>
      </c>
      <c r="I43" s="19">
        <v>0</v>
      </c>
      <c r="J43" s="19"/>
      <c r="K43" s="19">
        <v>5</v>
      </c>
      <c r="L43" s="19">
        <v>0</v>
      </c>
      <c r="M43" s="19">
        <f t="shared" si="15"/>
        <v>5</v>
      </c>
      <c r="N43" s="35"/>
      <c r="O43" s="36"/>
      <c r="P43" s="161">
        <f t="shared" si="13"/>
        <v>25943340.800000001</v>
      </c>
      <c r="Q43" s="16"/>
    </row>
    <row r="44" spans="1:17" ht="15" customHeight="1" x14ac:dyDescent="0.3">
      <c r="A44" s="13"/>
      <c r="B44" s="14" t="s">
        <v>65</v>
      </c>
      <c r="C44" s="15" t="s">
        <v>30</v>
      </c>
      <c r="D44" s="26">
        <f>1499.7+565.1</f>
        <v>2064.8000000000002</v>
      </c>
      <c r="E44" s="50" t="s">
        <v>52</v>
      </c>
      <c r="F44" s="19">
        <v>0</v>
      </c>
      <c r="G44" s="26">
        <f>13%*D44</f>
        <v>268.42400000000004</v>
      </c>
      <c r="H44" s="26">
        <f t="shared" si="14"/>
        <v>268.42400000000004</v>
      </c>
      <c r="I44" s="19">
        <v>0</v>
      </c>
      <c r="J44" s="19">
        <v>0</v>
      </c>
      <c r="K44" s="19">
        <v>0</v>
      </c>
      <c r="L44" s="19">
        <v>0</v>
      </c>
      <c r="M44" s="19">
        <f t="shared" si="15"/>
        <v>0</v>
      </c>
      <c r="N44" s="35"/>
      <c r="O44" s="36"/>
      <c r="P44" s="161">
        <f t="shared" si="13"/>
        <v>227516182.40000001</v>
      </c>
      <c r="Q44" s="16"/>
    </row>
    <row r="45" spans="1:17" ht="14.25" customHeight="1" x14ac:dyDescent="0.3">
      <c r="A45" s="13"/>
      <c r="B45" s="14" t="s">
        <v>66</v>
      </c>
      <c r="C45" s="15" t="s">
        <v>31</v>
      </c>
      <c r="D45" s="26">
        <f>1207+389</f>
        <v>1596</v>
      </c>
      <c r="E45" s="50" t="s">
        <v>52</v>
      </c>
      <c r="F45" s="19">
        <v>0</v>
      </c>
      <c r="G45" s="26">
        <f>13%*D45</f>
        <v>207.48000000000002</v>
      </c>
      <c r="H45" s="26">
        <f t="shared" si="14"/>
        <v>207.48000000000002</v>
      </c>
      <c r="I45" s="19">
        <v>0</v>
      </c>
      <c r="J45" s="19">
        <v>0</v>
      </c>
      <c r="K45" s="19">
        <v>0</v>
      </c>
      <c r="L45" s="19">
        <v>0</v>
      </c>
      <c r="M45" s="19">
        <f t="shared" si="15"/>
        <v>0</v>
      </c>
      <c r="N45" s="35"/>
      <c r="O45" s="36"/>
      <c r="P45" s="161">
        <f t="shared" si="13"/>
        <v>175860048</v>
      </c>
      <c r="Q45" s="16"/>
    </row>
    <row r="46" spans="1:17" ht="13.5" customHeight="1" x14ac:dyDescent="0.3">
      <c r="A46" s="13"/>
      <c r="B46" s="14" t="s">
        <v>67</v>
      </c>
      <c r="C46" s="15" t="s">
        <v>32</v>
      </c>
      <c r="D46" s="26">
        <f>998.9+79.5</f>
        <v>1078.4000000000001</v>
      </c>
      <c r="E46" s="50" t="s">
        <v>52</v>
      </c>
      <c r="F46" s="19">
        <v>0</v>
      </c>
      <c r="G46" s="26">
        <f>18%*D46</f>
        <v>194.11200000000002</v>
      </c>
      <c r="H46" s="26">
        <f t="shared" si="14"/>
        <v>194.11200000000002</v>
      </c>
      <c r="I46" s="19">
        <v>0</v>
      </c>
      <c r="J46" s="19">
        <v>0</v>
      </c>
      <c r="K46" s="19">
        <v>0</v>
      </c>
      <c r="L46" s="19">
        <v>0</v>
      </c>
      <c r="M46" s="19">
        <f t="shared" si="15"/>
        <v>0</v>
      </c>
      <c r="N46" s="35"/>
      <c r="O46" s="36"/>
      <c r="P46" s="161">
        <f t="shared" si="13"/>
        <v>164529331.19999999</v>
      </c>
      <c r="Q46" s="16"/>
    </row>
    <row r="47" spans="1:17" ht="15.75" customHeight="1" x14ac:dyDescent="0.3">
      <c r="A47" s="13"/>
      <c r="B47" s="14" t="s">
        <v>68</v>
      </c>
      <c r="C47" s="15" t="s">
        <v>33</v>
      </c>
      <c r="D47" s="26">
        <f>1304+57.5</f>
        <v>1361.5</v>
      </c>
      <c r="E47" s="50" t="s">
        <v>52</v>
      </c>
      <c r="F47" s="19">
        <v>0</v>
      </c>
      <c r="G47" s="26">
        <f>19%*D47</f>
        <v>258.685</v>
      </c>
      <c r="H47" s="26">
        <f t="shared" si="14"/>
        <v>258.685</v>
      </c>
      <c r="I47" s="19">
        <v>0</v>
      </c>
      <c r="J47" s="19"/>
      <c r="K47" s="19">
        <v>0</v>
      </c>
      <c r="L47" s="19">
        <v>0</v>
      </c>
      <c r="M47" s="19">
        <f t="shared" si="15"/>
        <v>0</v>
      </c>
      <c r="N47" s="35"/>
      <c r="O47" s="36"/>
      <c r="P47" s="161">
        <f t="shared" si="13"/>
        <v>219261406</v>
      </c>
      <c r="Q47" s="16"/>
    </row>
    <row r="48" spans="1:17" ht="14.25" customHeight="1" x14ac:dyDescent="0.3">
      <c r="A48" s="13"/>
      <c r="B48" s="14" t="s">
        <v>69</v>
      </c>
      <c r="C48" s="15" t="s">
        <v>34</v>
      </c>
      <c r="D48" s="26">
        <f>1784.1+362</f>
        <v>2146.1</v>
      </c>
      <c r="E48" s="50" t="s">
        <v>52</v>
      </c>
      <c r="F48" s="19">
        <v>0</v>
      </c>
      <c r="G48" s="26">
        <f>28%*D48</f>
        <v>600.90800000000002</v>
      </c>
      <c r="H48" s="26">
        <f t="shared" si="14"/>
        <v>600.90800000000002</v>
      </c>
      <c r="I48" s="19">
        <v>0</v>
      </c>
      <c r="J48" s="19"/>
      <c r="K48" s="19">
        <v>1</v>
      </c>
      <c r="L48" s="19">
        <v>0</v>
      </c>
      <c r="M48" s="19">
        <f t="shared" si="15"/>
        <v>1</v>
      </c>
      <c r="N48" s="35"/>
      <c r="O48" s="36"/>
      <c r="P48" s="161">
        <f t="shared" si="13"/>
        <v>509329620.80000001</v>
      </c>
      <c r="Q48" s="16"/>
    </row>
    <row r="49" spans="1:17" ht="13.5" customHeight="1" x14ac:dyDescent="0.3">
      <c r="A49" s="13"/>
      <c r="B49" s="14" t="s">
        <v>70</v>
      </c>
      <c r="C49" s="15" t="s">
        <v>35</v>
      </c>
      <c r="D49" s="26">
        <f>1557+181.5</f>
        <v>1738.5</v>
      </c>
      <c r="E49" s="50" t="s">
        <v>52</v>
      </c>
      <c r="F49" s="19">
        <v>0</v>
      </c>
      <c r="G49" s="26">
        <f>23%*D49</f>
        <v>399.85500000000002</v>
      </c>
      <c r="H49" s="26">
        <f t="shared" si="14"/>
        <v>399.85500000000002</v>
      </c>
      <c r="I49" s="19">
        <v>0</v>
      </c>
      <c r="J49" s="19">
        <v>0</v>
      </c>
      <c r="K49" s="19">
        <v>0</v>
      </c>
      <c r="L49" s="19">
        <v>0</v>
      </c>
      <c r="M49" s="19">
        <f t="shared" si="15"/>
        <v>0</v>
      </c>
      <c r="N49" s="35"/>
      <c r="O49" s="36"/>
      <c r="P49" s="161">
        <f t="shared" si="13"/>
        <v>338917098</v>
      </c>
      <c r="Q49" s="16"/>
    </row>
    <row r="50" spans="1:17" ht="18.75" customHeight="1" x14ac:dyDescent="0.3">
      <c r="A50" s="13"/>
      <c r="B50" s="14" t="s">
        <v>71</v>
      </c>
      <c r="C50" s="15" t="s">
        <v>21</v>
      </c>
      <c r="D50" s="26">
        <f>1940+114</f>
        <v>2054</v>
      </c>
      <c r="E50" s="50" t="s">
        <v>52</v>
      </c>
      <c r="F50" s="19">
        <v>0</v>
      </c>
      <c r="G50" s="26">
        <f>28%*D50</f>
        <v>575.12</v>
      </c>
      <c r="H50" s="26">
        <f t="shared" si="14"/>
        <v>575.12</v>
      </c>
      <c r="I50" s="19">
        <v>0</v>
      </c>
      <c r="J50" s="19">
        <v>0</v>
      </c>
      <c r="K50" s="19">
        <v>0</v>
      </c>
      <c r="L50" s="19">
        <v>0</v>
      </c>
      <c r="M50" s="19">
        <f t="shared" si="15"/>
        <v>0</v>
      </c>
      <c r="N50" s="35"/>
      <c r="O50" s="36"/>
      <c r="P50" s="161">
        <f t="shared" si="13"/>
        <v>487471711.99999994</v>
      </c>
      <c r="Q50" s="16"/>
    </row>
    <row r="51" spans="1:17" ht="14.25" customHeight="1" x14ac:dyDescent="0.3">
      <c r="A51" s="13"/>
      <c r="B51" s="14" t="s">
        <v>72</v>
      </c>
      <c r="C51" s="15" t="s">
        <v>42</v>
      </c>
      <c r="D51" s="26">
        <f>773.1+303.8</f>
        <v>1076.9000000000001</v>
      </c>
      <c r="E51" s="50" t="s">
        <v>52</v>
      </c>
      <c r="F51" s="19">
        <v>0</v>
      </c>
      <c r="G51" s="26">
        <f>28%*D51</f>
        <v>301.53200000000004</v>
      </c>
      <c r="H51" s="26">
        <f t="shared" si="14"/>
        <v>301.53200000000004</v>
      </c>
      <c r="I51" s="19">
        <v>0</v>
      </c>
      <c r="J51" s="19">
        <v>0</v>
      </c>
      <c r="K51" s="19">
        <v>0</v>
      </c>
      <c r="L51" s="19">
        <v>0</v>
      </c>
      <c r="M51" s="19">
        <f t="shared" si="15"/>
        <v>0</v>
      </c>
      <c r="N51" s="35"/>
      <c r="O51" s="36"/>
      <c r="P51" s="161">
        <f t="shared" si="13"/>
        <v>255578523.20000002</v>
      </c>
      <c r="Q51" s="16"/>
    </row>
    <row r="52" spans="1:17" ht="18" customHeight="1" x14ac:dyDescent="0.3">
      <c r="A52" s="13"/>
      <c r="B52" s="14" t="s">
        <v>73</v>
      </c>
      <c r="C52" s="15" t="s">
        <v>105</v>
      </c>
      <c r="D52" s="26">
        <f>153.8+8.7</f>
        <v>162.5</v>
      </c>
      <c r="E52" s="50" t="s">
        <v>52</v>
      </c>
      <c r="F52" s="19">
        <v>0</v>
      </c>
      <c r="G52" s="26">
        <f>29%*D52</f>
        <v>47.125</v>
      </c>
      <c r="H52" s="26">
        <f t="shared" si="14"/>
        <v>47.125</v>
      </c>
      <c r="I52" s="19">
        <v>0</v>
      </c>
      <c r="J52" s="19">
        <v>0</v>
      </c>
      <c r="K52" s="19">
        <v>0</v>
      </c>
      <c r="L52" s="19">
        <v>0</v>
      </c>
      <c r="M52" s="19">
        <f t="shared" si="15"/>
        <v>0</v>
      </c>
      <c r="N52" s="35"/>
      <c r="O52" s="36"/>
      <c r="P52" s="161">
        <f t="shared" si="13"/>
        <v>39943150</v>
      </c>
      <c r="Q52" s="16"/>
    </row>
    <row r="53" spans="1:17" ht="16.5" customHeight="1" x14ac:dyDescent="0.3">
      <c r="A53" s="13"/>
      <c r="B53" s="14" t="s">
        <v>74</v>
      </c>
      <c r="C53" s="15" t="s">
        <v>110</v>
      </c>
      <c r="D53" s="26">
        <f>695+48.2</f>
        <v>743.2</v>
      </c>
      <c r="E53" s="50" t="s">
        <v>52</v>
      </c>
      <c r="F53" s="19">
        <v>0</v>
      </c>
      <c r="G53" s="26">
        <f>19%*D53</f>
        <v>141.208</v>
      </c>
      <c r="H53" s="26">
        <f t="shared" si="14"/>
        <v>141.208</v>
      </c>
      <c r="I53" s="19">
        <v>0</v>
      </c>
      <c r="J53" s="19">
        <v>0</v>
      </c>
      <c r="K53" s="19">
        <v>0</v>
      </c>
      <c r="L53" s="19">
        <v>0</v>
      </c>
      <c r="M53" s="19">
        <f t="shared" si="15"/>
        <v>0</v>
      </c>
      <c r="N53" s="35"/>
      <c r="O53" s="36"/>
      <c r="P53" s="161">
        <f t="shared" si="13"/>
        <v>119687900.80000001</v>
      </c>
      <c r="Q53" s="16"/>
    </row>
    <row r="54" spans="1:17" ht="15.75" customHeight="1" x14ac:dyDescent="0.3">
      <c r="A54" s="13"/>
      <c r="B54" s="14" t="s">
        <v>75</v>
      </c>
      <c r="C54" s="15" t="s">
        <v>112</v>
      </c>
      <c r="D54" s="26">
        <f>375+14</f>
        <v>389</v>
      </c>
      <c r="E54" s="50" t="s">
        <v>52</v>
      </c>
      <c r="F54" s="19">
        <v>0</v>
      </c>
      <c r="G54" s="26">
        <f>19%*D54</f>
        <v>73.91</v>
      </c>
      <c r="H54" s="26">
        <f t="shared" si="14"/>
        <v>73.91</v>
      </c>
      <c r="I54" s="19">
        <v>0</v>
      </c>
      <c r="J54" s="19">
        <v>0</v>
      </c>
      <c r="K54" s="19">
        <v>0</v>
      </c>
      <c r="L54" s="19">
        <v>0</v>
      </c>
      <c r="M54" s="19">
        <f t="shared" si="15"/>
        <v>0</v>
      </c>
      <c r="N54" s="35"/>
      <c r="O54" s="36"/>
      <c r="P54" s="161">
        <f t="shared" si="13"/>
        <v>62646115.999999993</v>
      </c>
      <c r="Q54" s="16"/>
    </row>
    <row r="55" spans="1:17" ht="15.75" customHeight="1" x14ac:dyDescent="0.3">
      <c r="A55" s="13"/>
      <c r="B55" s="14" t="s">
        <v>104</v>
      </c>
      <c r="C55" s="15" t="s">
        <v>114</v>
      </c>
      <c r="D55" s="26">
        <f>73.5</f>
        <v>73.5</v>
      </c>
      <c r="E55" s="50" t="s">
        <v>52</v>
      </c>
      <c r="F55" s="19">
        <v>0</v>
      </c>
      <c r="G55" s="26">
        <f>19%*D55</f>
        <v>13.965</v>
      </c>
      <c r="H55" s="26">
        <f t="shared" si="14"/>
        <v>13.965</v>
      </c>
      <c r="I55" s="19">
        <v>0</v>
      </c>
      <c r="J55" s="19">
        <v>0</v>
      </c>
      <c r="K55" s="19">
        <v>0</v>
      </c>
      <c r="L55" s="19">
        <v>0</v>
      </c>
      <c r="M55" s="19">
        <f t="shared" si="15"/>
        <v>0</v>
      </c>
      <c r="N55" s="35"/>
      <c r="O55" s="36"/>
      <c r="P55" s="161">
        <f t="shared" si="13"/>
        <v>11836734</v>
      </c>
      <c r="Q55" s="16"/>
    </row>
    <row r="56" spans="1:17" ht="14.25" customHeight="1" x14ac:dyDescent="0.3">
      <c r="A56" s="13"/>
      <c r="B56" s="14" t="s">
        <v>106</v>
      </c>
      <c r="C56" s="15" t="s">
        <v>22</v>
      </c>
      <c r="D56" s="26">
        <f>1130+101</f>
        <v>1231</v>
      </c>
      <c r="E56" s="50" t="s">
        <v>52</v>
      </c>
      <c r="F56" s="19">
        <v>0</v>
      </c>
      <c r="G56" s="26">
        <f>19%*D56</f>
        <v>233.89000000000001</v>
      </c>
      <c r="H56" s="26">
        <f t="shared" si="14"/>
        <v>233.89000000000001</v>
      </c>
      <c r="I56" s="19">
        <v>0</v>
      </c>
      <c r="J56" s="19">
        <v>0</v>
      </c>
      <c r="K56" s="19">
        <v>0</v>
      </c>
      <c r="L56" s="19">
        <v>0</v>
      </c>
      <c r="M56" s="19">
        <f t="shared" si="15"/>
        <v>0</v>
      </c>
      <c r="N56" s="35"/>
      <c r="O56" s="36"/>
      <c r="P56" s="161">
        <f t="shared" si="13"/>
        <v>198245164.00000003</v>
      </c>
      <c r="Q56" s="16"/>
    </row>
    <row r="57" spans="1:17" ht="15" customHeight="1" x14ac:dyDescent="0.3">
      <c r="A57" s="13"/>
      <c r="B57" s="14" t="s">
        <v>108</v>
      </c>
      <c r="C57" s="15" t="s">
        <v>180</v>
      </c>
      <c r="D57" s="26">
        <f>134.8+5</f>
        <v>139.80000000000001</v>
      </c>
      <c r="E57" s="47" t="s">
        <v>52</v>
      </c>
      <c r="F57" s="19">
        <v>0</v>
      </c>
      <c r="G57" s="26">
        <f>20%*D57</f>
        <v>27.960000000000004</v>
      </c>
      <c r="H57" s="26">
        <f t="shared" si="14"/>
        <v>27.960000000000004</v>
      </c>
      <c r="I57" s="19">
        <v>0</v>
      </c>
      <c r="J57" s="19">
        <v>0</v>
      </c>
      <c r="K57" s="19">
        <v>0</v>
      </c>
      <c r="L57" s="19">
        <v>0</v>
      </c>
      <c r="M57" s="19">
        <f t="shared" si="15"/>
        <v>0</v>
      </c>
      <c r="N57" s="35"/>
      <c r="O57" s="36"/>
      <c r="P57" s="161">
        <f t="shared" si="13"/>
        <v>23698896</v>
      </c>
      <c r="Q57" s="16"/>
    </row>
    <row r="58" spans="1:17" ht="16.5" customHeight="1" x14ac:dyDescent="0.3">
      <c r="A58" s="13"/>
      <c r="B58" s="14" t="s">
        <v>109</v>
      </c>
      <c r="C58" s="15" t="s">
        <v>43</v>
      </c>
      <c r="D58" s="26">
        <f>1189+216.6</f>
        <v>1405.6</v>
      </c>
      <c r="E58" s="50" t="s">
        <v>52</v>
      </c>
      <c r="F58" s="19">
        <v>0</v>
      </c>
      <c r="G58" s="26">
        <f>20%*D58</f>
        <v>281.12</v>
      </c>
      <c r="H58" s="26">
        <f t="shared" si="14"/>
        <v>281.12</v>
      </c>
      <c r="I58" s="19">
        <v>0</v>
      </c>
      <c r="J58" s="19">
        <v>0</v>
      </c>
      <c r="K58" s="19">
        <v>0</v>
      </c>
      <c r="L58" s="19">
        <v>0</v>
      </c>
      <c r="M58" s="19">
        <f t="shared" si="15"/>
        <v>0</v>
      </c>
      <c r="N58" s="35"/>
      <c r="O58" s="36"/>
      <c r="P58" s="161">
        <f t="shared" si="13"/>
        <v>238277312</v>
      </c>
      <c r="Q58" s="16"/>
    </row>
    <row r="59" spans="1:17" ht="14.25" customHeight="1" x14ac:dyDescent="0.3">
      <c r="A59" s="13"/>
      <c r="B59" s="55" t="s">
        <v>111</v>
      </c>
      <c r="C59" s="56" t="s">
        <v>44</v>
      </c>
      <c r="D59" s="57">
        <f>1396.6+127</f>
        <v>1523.6</v>
      </c>
      <c r="E59" s="78" t="s">
        <v>52</v>
      </c>
      <c r="F59" s="19">
        <v>0</v>
      </c>
      <c r="G59" s="26">
        <f>18%*D59</f>
        <v>274.24799999999999</v>
      </c>
      <c r="H59" s="26">
        <f t="shared" si="14"/>
        <v>274.24799999999999</v>
      </c>
      <c r="I59" s="19">
        <v>0</v>
      </c>
      <c r="J59" s="19">
        <v>0</v>
      </c>
      <c r="K59" s="19">
        <v>0</v>
      </c>
      <c r="L59" s="19">
        <v>10</v>
      </c>
      <c r="M59" s="19">
        <f t="shared" si="15"/>
        <v>10</v>
      </c>
      <c r="N59" s="35"/>
      <c r="O59" s="36"/>
      <c r="P59" s="161">
        <f t="shared" si="13"/>
        <v>232452604.79999998</v>
      </c>
      <c r="Q59" s="16"/>
    </row>
    <row r="60" spans="1:17" ht="14.25" customHeight="1" x14ac:dyDescent="0.3">
      <c r="A60" s="13"/>
      <c r="B60" s="14" t="s">
        <v>74</v>
      </c>
      <c r="C60" s="15" t="s">
        <v>43</v>
      </c>
      <c r="D60" s="26">
        <v>1189</v>
      </c>
      <c r="E60" s="50" t="s">
        <v>52</v>
      </c>
      <c r="F60" s="19">
        <v>0</v>
      </c>
      <c r="G60" s="26">
        <f>19%*D60</f>
        <v>225.91</v>
      </c>
      <c r="H60" s="26">
        <f t="shared" si="14"/>
        <v>225.91</v>
      </c>
      <c r="I60" s="19">
        <v>0</v>
      </c>
      <c r="J60" s="19"/>
      <c r="K60" s="19">
        <v>6</v>
      </c>
      <c r="L60" s="19">
        <v>0</v>
      </c>
      <c r="M60" s="19">
        <f t="shared" si="15"/>
        <v>6</v>
      </c>
      <c r="N60" s="35"/>
      <c r="O60" s="36"/>
      <c r="P60" s="161">
        <f t="shared" si="13"/>
        <v>191481316</v>
      </c>
      <c r="Q60" s="16"/>
    </row>
    <row r="61" spans="1:17" ht="18.75" customHeight="1" x14ac:dyDescent="0.3">
      <c r="A61" s="54"/>
      <c r="B61" s="55" t="s">
        <v>75</v>
      </c>
      <c r="C61" s="56" t="s">
        <v>44</v>
      </c>
      <c r="D61" s="57">
        <v>1391</v>
      </c>
      <c r="E61" s="78" t="s">
        <v>52</v>
      </c>
      <c r="F61" s="19">
        <v>0</v>
      </c>
      <c r="G61" s="26">
        <f>19%*D61</f>
        <v>264.29000000000002</v>
      </c>
      <c r="H61" s="26">
        <f t="shared" si="14"/>
        <v>264.29000000000002</v>
      </c>
      <c r="I61" s="19">
        <v>0</v>
      </c>
      <c r="J61" s="19"/>
      <c r="K61" s="19">
        <v>2</v>
      </c>
      <c r="L61" s="19">
        <v>9</v>
      </c>
      <c r="M61" s="19">
        <f t="shared" si="15"/>
        <v>11</v>
      </c>
      <c r="N61" s="35"/>
      <c r="O61" s="36"/>
      <c r="P61" s="161">
        <f t="shared" si="13"/>
        <v>224012204.00000003</v>
      </c>
      <c r="Q61" s="16"/>
    </row>
    <row r="62" spans="1:17" ht="14.25" customHeight="1" x14ac:dyDescent="0.3">
      <c r="A62" s="141"/>
      <c r="B62" s="117"/>
      <c r="C62" s="116"/>
      <c r="D62" s="109"/>
      <c r="E62" s="110" t="s">
        <v>223</v>
      </c>
      <c r="F62" s="90">
        <f>9%*D61</f>
        <v>125.19</v>
      </c>
      <c r="G62" s="90"/>
      <c r="H62" s="90">
        <f>SUM(F62:G62)</f>
        <v>125.19</v>
      </c>
      <c r="I62" s="19">
        <v>0</v>
      </c>
      <c r="J62" s="19">
        <v>0</v>
      </c>
      <c r="K62" s="19">
        <v>0</v>
      </c>
      <c r="L62" s="19">
        <v>9</v>
      </c>
      <c r="M62" s="19">
        <f t="shared" si="15"/>
        <v>9</v>
      </c>
      <c r="N62" s="80"/>
      <c r="O62" s="81"/>
      <c r="P62" s="161">
        <f t="shared" si="13"/>
        <v>0</v>
      </c>
      <c r="Q62" s="87"/>
    </row>
    <row r="63" spans="1:17" ht="25.5" customHeight="1" x14ac:dyDescent="0.3">
      <c r="A63" s="89"/>
      <c r="B63" s="72" t="s">
        <v>347</v>
      </c>
      <c r="C63" s="72"/>
      <c r="D63" s="84">
        <f>SUM(D33:D61)</f>
        <v>30736.879999999997</v>
      </c>
      <c r="E63" s="74"/>
      <c r="F63" s="83">
        <f>SUM(F40:F62)</f>
        <v>125.19</v>
      </c>
      <c r="G63" s="83">
        <f>SUM(G33:G62)</f>
        <v>7152.6325999999999</v>
      </c>
      <c r="H63" s="83">
        <f>SUM(H33:H62)</f>
        <v>7291.3637999999992</v>
      </c>
      <c r="I63" s="83">
        <f>SUM(I33:I62)</f>
        <v>0</v>
      </c>
      <c r="J63" s="83">
        <f>SUM(J33:J61)</f>
        <v>0</v>
      </c>
      <c r="K63" s="83">
        <f>SUM(K33:K61)</f>
        <v>27</v>
      </c>
      <c r="L63" s="83">
        <f>SUM(L33:L62)</f>
        <v>28</v>
      </c>
      <c r="M63" s="83">
        <f>SUM(M33:M61)</f>
        <v>46</v>
      </c>
      <c r="N63" s="76"/>
      <c r="O63" s="77"/>
      <c r="P63" s="184">
        <f>SUM(P33:P62)</f>
        <v>6062571391.7600002</v>
      </c>
      <c r="Q63" s="75"/>
    </row>
    <row r="64" spans="1:17" ht="18.75" customHeight="1" x14ac:dyDescent="0.3">
      <c r="A64" s="63">
        <v>4</v>
      </c>
      <c r="B64" s="64" t="s">
        <v>46</v>
      </c>
      <c r="C64" s="65"/>
      <c r="D64" s="66"/>
      <c r="E64" s="67"/>
      <c r="F64" s="82"/>
      <c r="G64" s="82"/>
      <c r="H64" s="82"/>
      <c r="I64" s="82"/>
      <c r="J64" s="82"/>
      <c r="K64" s="82"/>
      <c r="L64" s="82"/>
      <c r="M64" s="82"/>
      <c r="N64" s="69"/>
      <c r="O64" s="70"/>
      <c r="P64" s="70"/>
      <c r="Q64" s="68"/>
    </row>
    <row r="65" spans="1:17" ht="25.5" customHeight="1" x14ac:dyDescent="0.3">
      <c r="A65" s="102"/>
      <c r="B65" s="98" t="s">
        <v>57</v>
      </c>
      <c r="C65" s="99" t="s">
        <v>29</v>
      </c>
      <c r="D65" s="96">
        <v>175</v>
      </c>
      <c r="E65" s="101" t="s">
        <v>233</v>
      </c>
      <c r="F65" s="96"/>
      <c r="G65" s="96">
        <f>18%*D65</f>
        <v>31.5</v>
      </c>
      <c r="H65" s="96">
        <f>SUM(F65:G65)</f>
        <v>31.5</v>
      </c>
      <c r="I65" s="97">
        <v>0</v>
      </c>
      <c r="J65" s="97"/>
      <c r="K65" s="97">
        <v>0</v>
      </c>
      <c r="L65" s="97">
        <v>2</v>
      </c>
      <c r="M65" s="97">
        <f t="shared" ref="M65:M72" si="16">SUM(I65:L65)</f>
        <v>2</v>
      </c>
      <c r="N65" s="35" t="s">
        <v>51</v>
      </c>
      <c r="O65" s="36" t="s">
        <v>229</v>
      </c>
      <c r="P65" s="161">
        <f>G65*1.036*20%*6000000</f>
        <v>39160800</v>
      </c>
      <c r="Q65" s="16"/>
    </row>
    <row r="66" spans="1:17" ht="21.75" customHeight="1" x14ac:dyDescent="0.3">
      <c r="A66" s="13"/>
      <c r="B66" s="14" t="s">
        <v>58</v>
      </c>
      <c r="C66" s="15" t="s">
        <v>33</v>
      </c>
      <c r="D66" s="26">
        <v>368</v>
      </c>
      <c r="E66" s="47" t="s">
        <v>185</v>
      </c>
      <c r="F66" s="26">
        <f>0%*D66</f>
        <v>0</v>
      </c>
      <c r="G66" s="26">
        <f>18%*D66</f>
        <v>66.239999999999995</v>
      </c>
      <c r="H66" s="26">
        <f t="shared" ref="H66:H72" si="17">SUM(F66:G66)</f>
        <v>66.239999999999995</v>
      </c>
      <c r="I66" s="19">
        <v>0</v>
      </c>
      <c r="J66" s="19"/>
      <c r="K66" s="19">
        <v>0</v>
      </c>
      <c r="L66" s="19">
        <v>3</v>
      </c>
      <c r="M66" s="19">
        <f t="shared" si="16"/>
        <v>3</v>
      </c>
      <c r="N66" s="35" t="s">
        <v>51</v>
      </c>
      <c r="O66" s="36" t="s">
        <v>138</v>
      </c>
      <c r="P66" s="161">
        <f>G66*1.036*50%*6000000</f>
        <v>205873920</v>
      </c>
      <c r="Q66" s="16"/>
    </row>
    <row r="67" spans="1:17" ht="22.5" customHeight="1" x14ac:dyDescent="0.3">
      <c r="A67" s="13"/>
      <c r="B67" s="98" t="s">
        <v>59</v>
      </c>
      <c r="C67" s="99" t="s">
        <v>42</v>
      </c>
      <c r="D67" s="96">
        <v>774.98</v>
      </c>
      <c r="E67" s="101" t="s">
        <v>233</v>
      </c>
      <c r="F67" s="96">
        <f>0%*D67</f>
        <v>0</v>
      </c>
      <c r="G67" s="97">
        <f>13%*D67</f>
        <v>100.7474</v>
      </c>
      <c r="H67" s="96">
        <f t="shared" si="17"/>
        <v>100.7474</v>
      </c>
      <c r="I67" s="97">
        <v>0</v>
      </c>
      <c r="J67" s="97"/>
      <c r="K67" s="97">
        <v>0</v>
      </c>
      <c r="L67" s="97">
        <v>0</v>
      </c>
      <c r="M67" s="97">
        <f t="shared" si="16"/>
        <v>0</v>
      </c>
      <c r="N67" s="35"/>
      <c r="O67" s="36"/>
      <c r="P67" s="161">
        <f t="shared" ref="P67:P72" si="18">G67*1.036*20%*6000000</f>
        <v>125249167.68000002</v>
      </c>
      <c r="Q67" s="16"/>
    </row>
    <row r="68" spans="1:17" ht="25.5" customHeight="1" x14ac:dyDescent="0.3">
      <c r="A68" s="13"/>
      <c r="B68" s="98" t="s">
        <v>60</v>
      </c>
      <c r="C68" s="99" t="s">
        <v>21</v>
      </c>
      <c r="D68" s="96">
        <v>942.55</v>
      </c>
      <c r="E68" s="101" t="s">
        <v>186</v>
      </c>
      <c r="F68" s="96">
        <f>1%*D68</f>
        <v>9.4254999999999995</v>
      </c>
      <c r="G68" s="97">
        <f>7%*D68</f>
        <v>65.978499999999997</v>
      </c>
      <c r="H68" s="96">
        <f t="shared" si="17"/>
        <v>75.403999999999996</v>
      </c>
      <c r="I68" s="97">
        <v>0</v>
      </c>
      <c r="J68" s="97"/>
      <c r="K68" s="97">
        <v>2</v>
      </c>
      <c r="L68" s="97">
        <v>0</v>
      </c>
      <c r="M68" s="97">
        <f t="shared" si="16"/>
        <v>2</v>
      </c>
      <c r="N68" s="35"/>
      <c r="O68" s="36"/>
      <c r="P68" s="161">
        <f t="shared" si="18"/>
        <v>82024471.199999988</v>
      </c>
      <c r="Q68" s="16"/>
    </row>
    <row r="69" spans="1:17" ht="22.5" customHeight="1" x14ac:dyDescent="0.3">
      <c r="A69" s="13"/>
      <c r="B69" s="98"/>
      <c r="C69" s="99"/>
      <c r="D69" s="96"/>
      <c r="E69" s="101" t="s">
        <v>233</v>
      </c>
      <c r="F69" s="96"/>
      <c r="G69" s="96">
        <f>7%*D68</f>
        <v>65.978499999999997</v>
      </c>
      <c r="H69" s="96">
        <f>SUM(F69:G69)</f>
        <v>65.978499999999997</v>
      </c>
      <c r="I69" s="19">
        <v>0</v>
      </c>
      <c r="J69" s="19">
        <v>0</v>
      </c>
      <c r="K69" s="19">
        <v>0</v>
      </c>
      <c r="L69" s="19">
        <v>0</v>
      </c>
      <c r="M69" s="19">
        <f t="shared" si="16"/>
        <v>0</v>
      </c>
      <c r="N69" s="35"/>
      <c r="O69" s="36"/>
      <c r="P69" s="161">
        <f t="shared" si="18"/>
        <v>82024471.199999988</v>
      </c>
      <c r="Q69" s="16"/>
    </row>
    <row r="70" spans="1:17" ht="24" customHeight="1" x14ac:dyDescent="0.3">
      <c r="A70" s="16"/>
      <c r="B70" s="14" t="s">
        <v>61</v>
      </c>
      <c r="C70" s="15" t="s">
        <v>22</v>
      </c>
      <c r="D70" s="26">
        <v>1233.55</v>
      </c>
      <c r="E70" s="101" t="s">
        <v>233</v>
      </c>
      <c r="F70" s="26">
        <f>0%*D70</f>
        <v>0</v>
      </c>
      <c r="G70" s="19">
        <f>7%*D70</f>
        <v>86.348500000000001</v>
      </c>
      <c r="H70" s="26">
        <f t="shared" si="17"/>
        <v>86.348500000000001</v>
      </c>
      <c r="I70" s="19">
        <v>0</v>
      </c>
      <c r="J70" s="19"/>
      <c r="K70" s="19">
        <v>2</v>
      </c>
      <c r="L70" s="19">
        <v>0</v>
      </c>
      <c r="M70" s="19">
        <f t="shared" si="16"/>
        <v>2</v>
      </c>
      <c r="N70" s="35"/>
      <c r="O70" s="36"/>
      <c r="P70" s="161">
        <f t="shared" si="18"/>
        <v>107348455.20000002</v>
      </c>
      <c r="Q70" s="16"/>
    </row>
    <row r="71" spans="1:17" ht="21" customHeight="1" x14ac:dyDescent="0.3">
      <c r="A71" s="87"/>
      <c r="B71" s="55" t="s">
        <v>62</v>
      </c>
      <c r="C71" s="56" t="s">
        <v>43</v>
      </c>
      <c r="D71" s="57">
        <v>133</v>
      </c>
      <c r="E71" s="101" t="s">
        <v>233</v>
      </c>
      <c r="F71" s="26">
        <f>0%*D71</f>
        <v>0</v>
      </c>
      <c r="G71" s="19">
        <f>5%*D71</f>
        <v>6.65</v>
      </c>
      <c r="H71" s="26">
        <f t="shared" si="17"/>
        <v>6.65</v>
      </c>
      <c r="I71" s="19">
        <v>0</v>
      </c>
      <c r="J71" s="19"/>
      <c r="K71" s="19">
        <v>0</v>
      </c>
      <c r="L71" s="19">
        <v>0</v>
      </c>
      <c r="M71" s="19">
        <f t="shared" si="16"/>
        <v>0</v>
      </c>
      <c r="N71" s="35"/>
      <c r="O71" s="36"/>
      <c r="P71" s="161">
        <f t="shared" si="18"/>
        <v>8267280.0000000009</v>
      </c>
      <c r="Q71" s="16"/>
    </row>
    <row r="72" spans="1:17" ht="27.75" customHeight="1" x14ac:dyDescent="0.3">
      <c r="A72" s="16"/>
      <c r="B72" s="14" t="s">
        <v>63</v>
      </c>
      <c r="C72" s="15" t="s">
        <v>32</v>
      </c>
      <c r="D72" s="26">
        <v>298.5</v>
      </c>
      <c r="E72" s="101" t="s">
        <v>236</v>
      </c>
      <c r="F72" s="26">
        <f>0%*D72</f>
        <v>0</v>
      </c>
      <c r="G72" s="19">
        <f>5%*D72</f>
        <v>14.925000000000001</v>
      </c>
      <c r="H72" s="26">
        <f t="shared" si="17"/>
        <v>14.925000000000001</v>
      </c>
      <c r="I72" s="135">
        <v>0</v>
      </c>
      <c r="J72" s="135"/>
      <c r="K72" s="135">
        <v>0</v>
      </c>
      <c r="L72" s="135">
        <v>0</v>
      </c>
      <c r="M72" s="135">
        <f t="shared" si="16"/>
        <v>0</v>
      </c>
      <c r="N72" s="80"/>
      <c r="O72" s="81"/>
      <c r="P72" s="161">
        <f t="shared" si="18"/>
        <v>18554760.000000004</v>
      </c>
      <c r="Q72" s="87"/>
    </row>
    <row r="73" spans="1:17" ht="18.75" customHeight="1" x14ac:dyDescent="0.3">
      <c r="A73" s="75"/>
      <c r="B73" s="72" t="s">
        <v>348</v>
      </c>
      <c r="C73" s="72"/>
      <c r="D73" s="73">
        <f>SUM(D65:D72)</f>
        <v>3925.58</v>
      </c>
      <c r="E73" s="74"/>
      <c r="F73" s="73">
        <f t="shared" ref="F73:K73" si="19">SUM(F65:F72)</f>
        <v>9.4254999999999995</v>
      </c>
      <c r="G73" s="83">
        <f t="shared" si="19"/>
        <v>438.36789999999996</v>
      </c>
      <c r="H73" s="73">
        <f t="shared" si="19"/>
        <v>447.79339999999996</v>
      </c>
      <c r="I73" s="83">
        <f t="shared" si="19"/>
        <v>0</v>
      </c>
      <c r="J73" s="83">
        <f t="shared" si="19"/>
        <v>0</v>
      </c>
      <c r="K73" s="83">
        <f t="shared" si="19"/>
        <v>4</v>
      </c>
      <c r="L73" s="83">
        <f>SUM(L65:L72)</f>
        <v>5</v>
      </c>
      <c r="M73" s="83">
        <f>SUM(M65:M72)</f>
        <v>9</v>
      </c>
      <c r="N73" s="76"/>
      <c r="O73" s="77"/>
      <c r="P73" s="162">
        <f>SUM(P65:P72)</f>
        <v>668503325.27999997</v>
      </c>
      <c r="Q73" s="75"/>
    </row>
    <row r="74" spans="1:17" ht="16.5" customHeight="1" x14ac:dyDescent="0.3">
      <c r="A74" s="63">
        <v>5</v>
      </c>
      <c r="B74" s="64" t="s">
        <v>96</v>
      </c>
      <c r="C74" s="65"/>
      <c r="D74" s="66"/>
      <c r="E74" s="67"/>
      <c r="F74" s="66"/>
      <c r="G74" s="66"/>
      <c r="H74" s="66"/>
      <c r="I74" s="82"/>
      <c r="J74" s="82"/>
      <c r="K74" s="82"/>
      <c r="L74" s="82"/>
      <c r="M74" s="82"/>
      <c r="N74" s="69"/>
      <c r="O74" s="70"/>
      <c r="P74" s="70"/>
      <c r="Q74" s="68"/>
    </row>
    <row r="75" spans="1:17" ht="16.5" customHeight="1" x14ac:dyDescent="0.3">
      <c r="A75" s="16"/>
      <c r="B75" s="14" t="s">
        <v>57</v>
      </c>
      <c r="C75" s="15" t="s">
        <v>22</v>
      </c>
      <c r="D75" s="26">
        <v>9.5</v>
      </c>
      <c r="E75" s="47" t="s">
        <v>163</v>
      </c>
      <c r="F75" s="26">
        <f>9%*D75</f>
        <v>0.85499999999999998</v>
      </c>
      <c r="G75" s="26">
        <v>0</v>
      </c>
      <c r="H75" s="26">
        <f t="shared" ref="H75:H83" si="20">SUM(F75:G75)</f>
        <v>0.85499999999999998</v>
      </c>
      <c r="I75" s="19">
        <v>0</v>
      </c>
      <c r="J75" s="19"/>
      <c r="K75" s="19">
        <v>0</v>
      </c>
      <c r="L75" s="19">
        <v>0</v>
      </c>
      <c r="M75" s="19">
        <f>SUM(I75:L75)</f>
        <v>0</v>
      </c>
      <c r="N75" s="35"/>
      <c r="O75" s="36"/>
      <c r="P75" s="161">
        <f t="shared" ref="P75:P83" si="21">600*H75*40000*20%</f>
        <v>4104000</v>
      </c>
      <c r="Q75" s="16"/>
    </row>
    <row r="76" spans="1:17" ht="17.25" customHeight="1" x14ac:dyDescent="0.3">
      <c r="A76" s="16"/>
      <c r="B76" s="14" t="s">
        <v>58</v>
      </c>
      <c r="C76" s="15" t="s">
        <v>21</v>
      </c>
      <c r="D76" s="26">
        <v>18.11</v>
      </c>
      <c r="E76" s="47" t="s">
        <v>164</v>
      </c>
      <c r="F76" s="26">
        <f>9%*D76</f>
        <v>1.6298999999999999</v>
      </c>
      <c r="G76" s="26">
        <f>2%*D76</f>
        <v>0.36220000000000002</v>
      </c>
      <c r="H76" s="26">
        <f t="shared" si="20"/>
        <v>1.9921</v>
      </c>
      <c r="I76" s="19">
        <v>0</v>
      </c>
      <c r="J76" s="19"/>
      <c r="K76" s="19"/>
      <c r="L76" s="19">
        <v>0</v>
      </c>
      <c r="M76" s="19">
        <f t="shared" ref="M76:M83" si="22">SUM(I76:L76)</f>
        <v>0</v>
      </c>
      <c r="N76" s="35"/>
      <c r="O76" s="36" t="s">
        <v>50</v>
      </c>
      <c r="P76" s="161">
        <f t="shared" si="21"/>
        <v>9562080</v>
      </c>
      <c r="Q76" s="16"/>
    </row>
    <row r="77" spans="1:17" ht="16.5" customHeight="1" x14ac:dyDescent="0.3">
      <c r="A77" s="16"/>
      <c r="B77" s="14"/>
      <c r="C77" s="15"/>
      <c r="D77" s="26"/>
      <c r="E77" s="49" t="s">
        <v>187</v>
      </c>
      <c r="F77" s="96">
        <f>12%*D76</f>
        <v>2.1732</v>
      </c>
      <c r="G77" s="96">
        <v>0</v>
      </c>
      <c r="H77" s="96">
        <f t="shared" si="20"/>
        <v>2.1732</v>
      </c>
      <c r="I77" s="97">
        <v>0</v>
      </c>
      <c r="J77" s="97">
        <v>0</v>
      </c>
      <c r="K77" s="97">
        <v>0</v>
      </c>
      <c r="L77" s="97">
        <v>0</v>
      </c>
      <c r="M77" s="97">
        <f t="shared" si="22"/>
        <v>0</v>
      </c>
      <c r="N77" s="35"/>
      <c r="O77" s="36"/>
      <c r="P77" s="161">
        <f t="shared" si="21"/>
        <v>10431360</v>
      </c>
      <c r="Q77" s="16"/>
    </row>
    <row r="78" spans="1:17" ht="16.5" customHeight="1" x14ac:dyDescent="0.3">
      <c r="A78" s="16"/>
      <c r="B78" s="14" t="s">
        <v>59</v>
      </c>
      <c r="C78" s="15" t="s">
        <v>43</v>
      </c>
      <c r="D78" s="26">
        <v>19.79</v>
      </c>
      <c r="E78" s="47" t="s">
        <v>164</v>
      </c>
      <c r="F78" s="26">
        <f>12%*D78</f>
        <v>2.3748</v>
      </c>
      <c r="G78" s="26">
        <v>0</v>
      </c>
      <c r="H78" s="26">
        <f t="shared" si="20"/>
        <v>2.3748</v>
      </c>
      <c r="I78" s="19">
        <v>0</v>
      </c>
      <c r="J78" s="19"/>
      <c r="K78" s="19">
        <v>1</v>
      </c>
      <c r="L78" s="19">
        <v>0</v>
      </c>
      <c r="M78" s="19">
        <f t="shared" si="22"/>
        <v>1</v>
      </c>
      <c r="N78" s="35"/>
      <c r="O78" s="36" t="s">
        <v>137</v>
      </c>
      <c r="P78" s="161">
        <f t="shared" si="21"/>
        <v>11399040.000000002</v>
      </c>
      <c r="Q78" s="16"/>
    </row>
    <row r="79" spans="1:17" ht="17.25" customHeight="1" x14ac:dyDescent="0.3">
      <c r="A79" s="16"/>
      <c r="B79" s="14" t="s">
        <v>60</v>
      </c>
      <c r="C79" s="15" t="s">
        <v>44</v>
      </c>
      <c r="D79" s="26">
        <v>30.5</v>
      </c>
      <c r="E79" s="47" t="s">
        <v>164</v>
      </c>
      <c r="F79" s="26">
        <f>9%*D79</f>
        <v>2.7450000000000001</v>
      </c>
      <c r="G79" s="26">
        <v>0</v>
      </c>
      <c r="H79" s="26">
        <f t="shared" si="20"/>
        <v>2.7450000000000001</v>
      </c>
      <c r="I79" s="19">
        <v>0</v>
      </c>
      <c r="J79" s="19">
        <v>0</v>
      </c>
      <c r="K79" s="19">
        <v>0</v>
      </c>
      <c r="L79" s="19">
        <v>0</v>
      </c>
      <c r="M79" s="19">
        <f t="shared" si="22"/>
        <v>0</v>
      </c>
      <c r="N79" s="35"/>
      <c r="O79" s="36" t="s">
        <v>145</v>
      </c>
      <c r="P79" s="161">
        <f t="shared" si="21"/>
        <v>13176000</v>
      </c>
      <c r="Q79" s="16"/>
    </row>
    <row r="80" spans="1:17" ht="15.75" customHeight="1" x14ac:dyDescent="0.3">
      <c r="A80" s="16"/>
      <c r="B80" s="14" t="s">
        <v>61</v>
      </c>
      <c r="C80" s="15" t="s">
        <v>33</v>
      </c>
      <c r="D80" s="26">
        <v>8.3000000000000007</v>
      </c>
      <c r="E80" s="47" t="s">
        <v>164</v>
      </c>
      <c r="F80" s="26">
        <f>9%*D80</f>
        <v>0.747</v>
      </c>
      <c r="G80" s="26">
        <v>0</v>
      </c>
      <c r="H80" s="26">
        <f t="shared" si="20"/>
        <v>0.747</v>
      </c>
      <c r="I80" s="19">
        <v>0</v>
      </c>
      <c r="J80" s="19">
        <v>0</v>
      </c>
      <c r="K80" s="19">
        <v>0</v>
      </c>
      <c r="L80" s="19">
        <v>0</v>
      </c>
      <c r="M80" s="19">
        <f t="shared" si="22"/>
        <v>0</v>
      </c>
      <c r="N80" s="35"/>
      <c r="O80" s="36" t="s">
        <v>146</v>
      </c>
      <c r="P80" s="161">
        <f t="shared" si="21"/>
        <v>3585600</v>
      </c>
      <c r="Q80" s="16"/>
    </row>
    <row r="81" spans="1:21" ht="17.25" customHeight="1" x14ac:dyDescent="0.3">
      <c r="A81" s="16"/>
      <c r="B81" s="14" t="s">
        <v>62</v>
      </c>
      <c r="C81" s="15" t="s">
        <v>32</v>
      </c>
      <c r="D81" s="26">
        <v>1.25</v>
      </c>
      <c r="E81" s="47" t="s">
        <v>164</v>
      </c>
      <c r="F81" s="26">
        <f>1%*D81</f>
        <v>1.2500000000000001E-2</v>
      </c>
      <c r="G81" s="26">
        <v>0</v>
      </c>
      <c r="H81" s="26">
        <f t="shared" si="20"/>
        <v>1.2500000000000001E-2</v>
      </c>
      <c r="I81" s="19">
        <v>0</v>
      </c>
      <c r="J81" s="19">
        <v>0</v>
      </c>
      <c r="K81" s="19">
        <v>0</v>
      </c>
      <c r="L81" s="19">
        <v>0</v>
      </c>
      <c r="M81" s="19">
        <f t="shared" si="22"/>
        <v>0</v>
      </c>
      <c r="N81" s="35"/>
      <c r="O81" s="36"/>
      <c r="P81" s="161">
        <f t="shared" si="21"/>
        <v>60000</v>
      </c>
      <c r="Q81" s="16"/>
    </row>
    <row r="82" spans="1:21" ht="16.5" customHeight="1" x14ac:dyDescent="0.3">
      <c r="A82" s="16"/>
      <c r="B82" s="14">
        <v>9</v>
      </c>
      <c r="C82" s="15" t="s">
        <v>30</v>
      </c>
      <c r="D82" s="26">
        <v>9.5</v>
      </c>
      <c r="E82" s="47" t="s">
        <v>164</v>
      </c>
      <c r="F82" s="26">
        <f>11%*D82</f>
        <v>1.0449999999999999</v>
      </c>
      <c r="G82" s="26">
        <v>0</v>
      </c>
      <c r="H82" s="26">
        <f t="shared" si="20"/>
        <v>1.0449999999999999</v>
      </c>
      <c r="I82" s="19">
        <v>0</v>
      </c>
      <c r="J82" s="19">
        <v>0</v>
      </c>
      <c r="K82" s="19">
        <v>0</v>
      </c>
      <c r="L82" s="19">
        <v>0</v>
      </c>
      <c r="M82" s="19">
        <f t="shared" si="22"/>
        <v>0</v>
      </c>
      <c r="N82" s="35"/>
      <c r="O82" s="36"/>
      <c r="P82" s="161">
        <f t="shared" si="21"/>
        <v>5016000</v>
      </c>
      <c r="Q82" s="16"/>
    </row>
    <row r="83" spans="1:21" ht="17.25" customHeight="1" x14ac:dyDescent="0.3">
      <c r="A83" s="87"/>
      <c r="B83" s="55" t="s">
        <v>64</v>
      </c>
      <c r="C83" s="56" t="s">
        <v>31</v>
      </c>
      <c r="D83" s="57">
        <v>6</v>
      </c>
      <c r="E83" s="85" t="s">
        <v>164</v>
      </c>
      <c r="F83" s="26">
        <f>14%*D83</f>
        <v>0.84000000000000008</v>
      </c>
      <c r="G83" s="26">
        <v>0</v>
      </c>
      <c r="H83" s="26">
        <f t="shared" si="20"/>
        <v>0.84000000000000008</v>
      </c>
      <c r="I83" s="79">
        <v>0</v>
      </c>
      <c r="J83" s="79">
        <v>0</v>
      </c>
      <c r="K83" s="79">
        <v>0</v>
      </c>
      <c r="L83" s="79">
        <v>0</v>
      </c>
      <c r="M83" s="79">
        <f t="shared" si="22"/>
        <v>0</v>
      </c>
      <c r="N83" s="80"/>
      <c r="O83" s="81"/>
      <c r="P83" s="161">
        <f t="shared" si="21"/>
        <v>4032000.0000000009</v>
      </c>
      <c r="Q83" s="87"/>
    </row>
    <row r="84" spans="1:21" ht="18.75" customHeight="1" x14ac:dyDescent="0.3">
      <c r="A84" s="75"/>
      <c r="B84" s="72" t="s">
        <v>349</v>
      </c>
      <c r="C84" s="72"/>
      <c r="D84" s="73">
        <f>SUM(D75:D83)</f>
        <v>102.95</v>
      </c>
      <c r="E84" s="74"/>
      <c r="F84" s="73">
        <f t="shared" ref="F84:K84" si="23">SUM(F75:F83)</f>
        <v>12.422399999999998</v>
      </c>
      <c r="G84" s="73">
        <f t="shared" si="23"/>
        <v>0.36220000000000002</v>
      </c>
      <c r="H84" s="73">
        <f t="shared" si="23"/>
        <v>12.784599999999999</v>
      </c>
      <c r="I84" s="83">
        <f t="shared" si="23"/>
        <v>0</v>
      </c>
      <c r="J84" s="83">
        <f t="shared" si="23"/>
        <v>0</v>
      </c>
      <c r="K84" s="83">
        <f t="shared" si="23"/>
        <v>1</v>
      </c>
      <c r="L84" s="83">
        <f>SUM(L75:L83)</f>
        <v>0</v>
      </c>
      <c r="M84" s="83">
        <f>SUM(M75:M83)</f>
        <v>1</v>
      </c>
      <c r="N84" s="76"/>
      <c r="O84" s="77"/>
      <c r="P84" s="170">
        <f>SUM(P74:P83)</f>
        <v>61366080</v>
      </c>
      <c r="Q84" s="75"/>
    </row>
    <row r="85" spans="1:21" ht="17.25" customHeight="1" x14ac:dyDescent="0.3">
      <c r="A85" s="103">
        <v>6</v>
      </c>
      <c r="B85" s="104" t="s">
        <v>116</v>
      </c>
      <c r="C85" s="104"/>
      <c r="D85" s="105"/>
      <c r="E85" s="106"/>
      <c r="F85" s="105"/>
      <c r="G85" s="107"/>
      <c r="H85" s="105"/>
      <c r="I85" s="107"/>
      <c r="J85" s="107"/>
      <c r="K85" s="107"/>
      <c r="L85" s="107"/>
      <c r="M85" s="107"/>
      <c r="N85" s="69"/>
      <c r="O85" s="70"/>
      <c r="P85" s="70"/>
      <c r="Q85" s="68"/>
      <c r="T85" s="1" t="s">
        <v>327</v>
      </c>
      <c r="U85" s="1" t="s">
        <v>329</v>
      </c>
    </row>
    <row r="86" spans="1:21" ht="20.25" customHeight="1" x14ac:dyDescent="0.3">
      <c r="A86" s="27"/>
      <c r="B86" s="152" t="s">
        <v>57</v>
      </c>
      <c r="C86" s="153" t="s">
        <v>30</v>
      </c>
      <c r="D86" s="154">
        <v>57.9</v>
      </c>
      <c r="E86" s="101" t="s">
        <v>188</v>
      </c>
      <c r="F86" s="154">
        <f>3%*D86</f>
        <v>1.7369999999999999</v>
      </c>
      <c r="G86" s="155">
        <v>0</v>
      </c>
      <c r="H86" s="154">
        <f t="shared" ref="H86:H90" si="24">SUM(F86:G86)</f>
        <v>1.7369999999999999</v>
      </c>
      <c r="I86" s="155">
        <v>0</v>
      </c>
      <c r="J86" s="155"/>
      <c r="K86" s="155"/>
      <c r="L86" s="155">
        <v>0</v>
      </c>
      <c r="M86" s="155">
        <f>SUM(I86:L86)</f>
        <v>0</v>
      </c>
      <c r="N86" s="156" t="s">
        <v>86</v>
      </c>
      <c r="O86" s="40" t="s">
        <v>271</v>
      </c>
      <c r="P86" s="176">
        <f>G86*0.347*30*16000000</f>
        <v>0</v>
      </c>
      <c r="Q86" s="27"/>
      <c r="S86" s="1" t="s">
        <v>310</v>
      </c>
      <c r="T86" s="1" t="s">
        <v>328</v>
      </c>
      <c r="U86" s="2">
        <v>1111</v>
      </c>
    </row>
    <row r="87" spans="1:21" ht="22.5" customHeight="1" x14ac:dyDescent="0.3">
      <c r="A87" s="16"/>
      <c r="B87" s="14" t="s">
        <v>58</v>
      </c>
      <c r="C87" s="15" t="s">
        <v>44</v>
      </c>
      <c r="D87" s="26">
        <v>84.65</v>
      </c>
      <c r="E87" s="47" t="s">
        <v>182</v>
      </c>
      <c r="F87" s="26">
        <f>4%*D87</f>
        <v>3.3860000000000001</v>
      </c>
      <c r="G87" s="19">
        <v>0</v>
      </c>
      <c r="H87" s="26">
        <f t="shared" si="24"/>
        <v>3.3860000000000001</v>
      </c>
      <c r="I87" s="19">
        <v>0</v>
      </c>
      <c r="J87" s="19"/>
      <c r="K87" s="19">
        <v>2</v>
      </c>
      <c r="L87" s="19">
        <v>0</v>
      </c>
      <c r="M87" s="19">
        <f t="shared" ref="M87:M90" si="25">SUM(I87:L87)</f>
        <v>2</v>
      </c>
      <c r="N87" s="35"/>
      <c r="O87" s="36" t="s">
        <v>272</v>
      </c>
      <c r="P87" s="176">
        <f>G87*0.347*30*16000000</f>
        <v>0</v>
      </c>
      <c r="Q87" s="16"/>
      <c r="S87" s="1" t="s">
        <v>312</v>
      </c>
    </row>
    <row r="88" spans="1:21" ht="29.25" customHeight="1" x14ac:dyDescent="0.3">
      <c r="A88" s="16"/>
      <c r="B88" s="14"/>
      <c r="C88" s="15"/>
      <c r="D88" s="26"/>
      <c r="E88" s="101" t="s">
        <v>181</v>
      </c>
      <c r="F88" s="96">
        <f>9%*D87</f>
        <v>7.6185</v>
      </c>
      <c r="G88" s="97">
        <v>0</v>
      </c>
      <c r="H88" s="96">
        <f t="shared" si="24"/>
        <v>7.6185</v>
      </c>
      <c r="I88" s="97">
        <v>0</v>
      </c>
      <c r="J88" s="97"/>
      <c r="K88" s="97">
        <v>0</v>
      </c>
      <c r="L88" s="97">
        <v>0</v>
      </c>
      <c r="M88" s="97">
        <f>SUM(I88:L88)</f>
        <v>0</v>
      </c>
      <c r="N88" s="35"/>
      <c r="O88" s="36" t="s">
        <v>273</v>
      </c>
      <c r="P88" s="176">
        <f>G88*0.347*30*16000000</f>
        <v>0</v>
      </c>
      <c r="Q88" s="16"/>
      <c r="S88" s="1" t="s">
        <v>330</v>
      </c>
    </row>
    <row r="89" spans="1:21" ht="27.75" customHeight="1" x14ac:dyDescent="0.3">
      <c r="A89" s="16"/>
      <c r="B89" s="14" t="s">
        <v>59</v>
      </c>
      <c r="C89" s="15" t="s">
        <v>33</v>
      </c>
      <c r="D89" s="26">
        <v>14.2</v>
      </c>
      <c r="E89" s="101" t="s">
        <v>181</v>
      </c>
      <c r="F89" s="26">
        <f>10%*D89</f>
        <v>1.42</v>
      </c>
      <c r="G89" s="19">
        <v>0</v>
      </c>
      <c r="H89" s="26">
        <f t="shared" si="24"/>
        <v>1.42</v>
      </c>
      <c r="I89" s="19">
        <v>0</v>
      </c>
      <c r="J89" s="19"/>
      <c r="K89" s="19"/>
      <c r="L89" s="19"/>
      <c r="M89" s="19">
        <f t="shared" si="25"/>
        <v>0</v>
      </c>
      <c r="N89" s="35" t="s">
        <v>88</v>
      </c>
      <c r="O89" s="36" t="s">
        <v>274</v>
      </c>
      <c r="P89" s="176">
        <f>G89*0.347*30*16000000</f>
        <v>0</v>
      </c>
      <c r="Q89" s="16"/>
    </row>
    <row r="90" spans="1:21" ht="48" customHeight="1" x14ac:dyDescent="0.3">
      <c r="A90" s="108"/>
      <c r="B90" s="128" t="s">
        <v>61</v>
      </c>
      <c r="C90" s="126" t="s">
        <v>35</v>
      </c>
      <c r="D90" s="127">
        <v>36.72</v>
      </c>
      <c r="E90" s="142" t="s">
        <v>183</v>
      </c>
      <c r="F90" s="127">
        <f>7%*D90</f>
        <v>2.5704000000000002</v>
      </c>
      <c r="G90" s="143">
        <v>0</v>
      </c>
      <c r="H90" s="127">
        <f t="shared" si="24"/>
        <v>2.5704000000000002</v>
      </c>
      <c r="I90" s="143">
        <v>0</v>
      </c>
      <c r="J90" s="143">
        <v>0</v>
      </c>
      <c r="K90" s="143">
        <v>0</v>
      </c>
      <c r="L90" s="143">
        <v>0</v>
      </c>
      <c r="M90" s="143">
        <f t="shared" si="25"/>
        <v>0</v>
      </c>
      <c r="N90" s="157" t="s">
        <v>254</v>
      </c>
      <c r="O90" s="158" t="s">
        <v>137</v>
      </c>
      <c r="P90" s="176">
        <f>G90*0.347*30*16000000</f>
        <v>0</v>
      </c>
      <c r="Q90" s="87"/>
    </row>
    <row r="91" spans="1:21" ht="14.25" customHeight="1" x14ac:dyDescent="0.3">
      <c r="A91" s="75"/>
      <c r="B91" s="136" t="s">
        <v>351</v>
      </c>
      <c r="C91" s="137"/>
      <c r="D91" s="138">
        <f>SUM(D86:D90)</f>
        <v>193.47</v>
      </c>
      <c r="E91" s="139"/>
      <c r="F91" s="138">
        <f t="shared" ref="F91:M91" si="26">SUM(F86:F90)</f>
        <v>16.7319</v>
      </c>
      <c r="G91" s="140">
        <f t="shared" si="26"/>
        <v>0</v>
      </c>
      <c r="H91" s="138">
        <f t="shared" si="26"/>
        <v>16.7319</v>
      </c>
      <c r="I91" s="140">
        <f t="shared" si="26"/>
        <v>0</v>
      </c>
      <c r="J91" s="140">
        <f t="shared" si="26"/>
        <v>0</v>
      </c>
      <c r="K91" s="140">
        <f t="shared" si="26"/>
        <v>2</v>
      </c>
      <c r="L91" s="140">
        <f t="shared" si="26"/>
        <v>0</v>
      </c>
      <c r="M91" s="140">
        <f t="shared" si="26"/>
        <v>2</v>
      </c>
      <c r="N91" s="76"/>
      <c r="O91" s="77"/>
      <c r="P91" s="170">
        <f>SUM(P85:P90)</f>
        <v>0</v>
      </c>
      <c r="Q91" s="75"/>
    </row>
    <row r="92" spans="1:21" ht="13.5" customHeight="1" x14ac:dyDescent="0.3">
      <c r="A92" s="63">
        <v>7</v>
      </c>
      <c r="B92" s="8" t="s">
        <v>117</v>
      </c>
      <c r="C92" s="10"/>
      <c r="D92" s="90"/>
      <c r="E92" s="67"/>
      <c r="F92" s="66"/>
      <c r="G92" s="82"/>
      <c r="H92" s="66"/>
      <c r="I92" s="82"/>
      <c r="J92" s="82"/>
      <c r="K92" s="82"/>
      <c r="L92" s="82"/>
      <c r="M92" s="82"/>
      <c r="N92" s="69"/>
      <c r="O92" s="70"/>
      <c r="P92" s="70"/>
      <c r="Q92" s="68"/>
    </row>
    <row r="93" spans="1:21" ht="24.75" customHeight="1" x14ac:dyDescent="0.3">
      <c r="A93" s="16"/>
      <c r="B93" s="14" t="s">
        <v>57</v>
      </c>
      <c r="C93" s="15" t="s">
        <v>22</v>
      </c>
      <c r="D93" s="26">
        <v>296.95</v>
      </c>
      <c r="E93" s="101" t="s">
        <v>203</v>
      </c>
      <c r="F93" s="96">
        <f>2%*D93</f>
        <v>5.9390000000000001</v>
      </c>
      <c r="G93" s="97">
        <v>0</v>
      </c>
      <c r="H93" s="96">
        <f t="shared" ref="H93:H101" si="27">SUM(F93:G93)</f>
        <v>5.9390000000000001</v>
      </c>
      <c r="I93" s="97">
        <v>0</v>
      </c>
      <c r="J93" s="97"/>
      <c r="K93" s="97">
        <v>0</v>
      </c>
      <c r="L93" s="97">
        <v>4</v>
      </c>
      <c r="M93" s="97">
        <f>SUM(I93:L93)</f>
        <v>4</v>
      </c>
      <c r="N93" s="35"/>
      <c r="O93" s="40" t="s">
        <v>211</v>
      </c>
      <c r="P93" s="167">
        <f t="shared" ref="P93:P102" si="28">G93*0.3*30%*50000000</f>
        <v>0</v>
      </c>
      <c r="Q93" s="16"/>
    </row>
    <row r="94" spans="1:21" ht="15" customHeight="1" x14ac:dyDescent="0.3">
      <c r="A94" s="16"/>
      <c r="B94" s="14"/>
      <c r="C94" s="15"/>
      <c r="D94" s="26"/>
      <c r="E94" s="101" t="s">
        <v>220</v>
      </c>
      <c r="F94" s="96">
        <f>1%*D93</f>
        <v>2.9695</v>
      </c>
      <c r="G94" s="97"/>
      <c r="H94" s="96">
        <f>SUM(F94:G94)</f>
        <v>2.9695</v>
      </c>
      <c r="I94" s="97">
        <v>0</v>
      </c>
      <c r="J94" s="97"/>
      <c r="K94" s="97">
        <v>0</v>
      </c>
      <c r="L94" s="97">
        <v>4</v>
      </c>
      <c r="M94" s="97">
        <f>SUM(I94:L94)</f>
        <v>4</v>
      </c>
      <c r="N94" s="35"/>
      <c r="O94" s="40"/>
      <c r="P94" s="167">
        <f t="shared" si="28"/>
        <v>0</v>
      </c>
      <c r="Q94" s="16"/>
    </row>
    <row r="95" spans="1:21" ht="32.25" customHeight="1" x14ac:dyDescent="0.3">
      <c r="A95" s="16"/>
      <c r="B95" s="14" t="s">
        <v>58</v>
      </c>
      <c r="C95" s="15" t="s">
        <v>42</v>
      </c>
      <c r="D95" s="26">
        <v>248.5</v>
      </c>
      <c r="E95" s="101" t="s">
        <v>203</v>
      </c>
      <c r="F95" s="96">
        <f>7%*D95</f>
        <v>17.395000000000003</v>
      </c>
      <c r="G95" s="97">
        <v>0</v>
      </c>
      <c r="H95" s="96">
        <f t="shared" si="27"/>
        <v>17.395000000000003</v>
      </c>
      <c r="I95" s="97">
        <v>0</v>
      </c>
      <c r="J95" s="97"/>
      <c r="K95" s="97">
        <v>0</v>
      </c>
      <c r="L95" s="97">
        <v>4</v>
      </c>
      <c r="M95" s="97">
        <f>SUM(I95:L95)</f>
        <v>4</v>
      </c>
      <c r="N95" s="35"/>
      <c r="O95" s="40" t="s">
        <v>137</v>
      </c>
      <c r="P95" s="167">
        <f t="shared" si="28"/>
        <v>0</v>
      </c>
      <c r="Q95" s="16"/>
    </row>
    <row r="96" spans="1:21" ht="14.25" customHeight="1" x14ac:dyDescent="0.3">
      <c r="A96" s="16"/>
      <c r="B96" s="14"/>
      <c r="C96" s="15"/>
      <c r="D96" s="26"/>
      <c r="E96" s="101" t="s">
        <v>220</v>
      </c>
      <c r="F96" s="96">
        <f>8%*D95</f>
        <v>19.88</v>
      </c>
      <c r="G96" s="97"/>
      <c r="H96" s="96">
        <f>SUM(F96:G96)</f>
        <v>19.88</v>
      </c>
      <c r="I96" s="97"/>
      <c r="J96" s="97"/>
      <c r="K96" s="97"/>
      <c r="L96" s="97"/>
      <c r="M96" s="97"/>
      <c r="N96" s="35"/>
      <c r="O96" s="40"/>
      <c r="P96" s="167">
        <f t="shared" si="28"/>
        <v>0</v>
      </c>
      <c r="Q96" s="16"/>
    </row>
    <row r="97" spans="1:17" ht="22.5" customHeight="1" x14ac:dyDescent="0.3">
      <c r="A97" s="16"/>
      <c r="B97" s="14" t="s">
        <v>59</v>
      </c>
      <c r="C97" s="15" t="s">
        <v>21</v>
      </c>
      <c r="D97" s="18">
        <v>156.94999999999999</v>
      </c>
      <c r="E97" s="101" t="s">
        <v>203</v>
      </c>
      <c r="F97" s="145"/>
      <c r="G97" s="146">
        <v>5</v>
      </c>
      <c r="H97" s="96">
        <f t="shared" si="27"/>
        <v>5</v>
      </c>
      <c r="I97" s="97">
        <v>0</v>
      </c>
      <c r="J97" s="97"/>
      <c r="K97" s="97">
        <v>0</v>
      </c>
      <c r="L97" s="97">
        <v>2</v>
      </c>
      <c r="M97" s="97">
        <f>SUM(I97:L97)</f>
        <v>2</v>
      </c>
      <c r="N97" s="35"/>
      <c r="O97" s="36"/>
      <c r="P97" s="167">
        <f t="shared" si="28"/>
        <v>22499999.999999996</v>
      </c>
      <c r="Q97" s="16"/>
    </row>
    <row r="98" spans="1:17" ht="15.75" customHeight="1" x14ac:dyDescent="0.3">
      <c r="A98" s="16"/>
      <c r="B98" s="14"/>
      <c r="C98" s="15"/>
      <c r="D98" s="18"/>
      <c r="E98" s="101" t="s">
        <v>220</v>
      </c>
      <c r="F98" s="145"/>
      <c r="G98" s="97">
        <v>5</v>
      </c>
      <c r="H98" s="96">
        <f>SUM(F98:G98)</f>
        <v>5</v>
      </c>
      <c r="I98" s="97"/>
      <c r="J98" s="97"/>
      <c r="K98" s="97"/>
      <c r="L98" s="97"/>
      <c r="M98" s="97"/>
      <c r="N98" s="35"/>
      <c r="O98" s="36"/>
      <c r="P98" s="167">
        <f t="shared" si="28"/>
        <v>22499999.999999996</v>
      </c>
      <c r="Q98" s="16"/>
    </row>
    <row r="99" spans="1:17" ht="24" customHeight="1" x14ac:dyDescent="0.3">
      <c r="A99" s="16"/>
      <c r="B99" s="14" t="s">
        <v>60</v>
      </c>
      <c r="C99" s="15" t="s">
        <v>43</v>
      </c>
      <c r="D99" s="26">
        <v>455.8</v>
      </c>
      <c r="E99" s="101" t="s">
        <v>221</v>
      </c>
      <c r="F99" s="96">
        <f>7%*D99</f>
        <v>31.906000000000002</v>
      </c>
      <c r="G99" s="97">
        <v>0</v>
      </c>
      <c r="H99" s="96">
        <f t="shared" si="27"/>
        <v>31.906000000000002</v>
      </c>
      <c r="I99" s="97">
        <v>0</v>
      </c>
      <c r="J99" s="97"/>
      <c r="K99" s="97">
        <v>0</v>
      </c>
      <c r="L99" s="97">
        <v>5</v>
      </c>
      <c r="M99" s="97">
        <f>SUM(I99:L99)</f>
        <v>5</v>
      </c>
      <c r="N99" s="35"/>
      <c r="O99" s="36"/>
      <c r="P99" s="167">
        <f t="shared" si="28"/>
        <v>0</v>
      </c>
      <c r="Q99" s="16"/>
    </row>
    <row r="100" spans="1:17" ht="20.25" customHeight="1" x14ac:dyDescent="0.3">
      <c r="A100" s="16"/>
      <c r="B100" s="14"/>
      <c r="C100" s="15"/>
      <c r="D100" s="26"/>
      <c r="E100" s="101" t="s">
        <v>220</v>
      </c>
      <c r="F100" s="96"/>
      <c r="G100" s="96">
        <f>13%*D99</f>
        <v>59.254000000000005</v>
      </c>
      <c r="H100" s="96">
        <f>SUM(F100:G100)</f>
        <v>59.254000000000005</v>
      </c>
      <c r="I100" s="97"/>
      <c r="J100" s="97"/>
      <c r="K100" s="97"/>
      <c r="L100" s="97"/>
      <c r="M100" s="97"/>
      <c r="N100" s="35"/>
      <c r="O100" s="36"/>
      <c r="P100" s="167">
        <f t="shared" si="28"/>
        <v>266642999.99999997</v>
      </c>
      <c r="Q100" s="16"/>
    </row>
    <row r="101" spans="1:17" ht="23.25" customHeight="1" x14ac:dyDescent="0.3">
      <c r="A101" s="16"/>
      <c r="B101" s="14" t="s">
        <v>61</v>
      </c>
      <c r="C101" s="15" t="s">
        <v>44</v>
      </c>
      <c r="D101" s="26">
        <v>87.95</v>
      </c>
      <c r="E101" s="101" t="s">
        <v>203</v>
      </c>
      <c r="F101" s="26">
        <f>9%*D101</f>
        <v>7.9154999999999998</v>
      </c>
      <c r="G101" s="19">
        <v>0</v>
      </c>
      <c r="H101" s="26">
        <f t="shared" si="27"/>
        <v>7.9154999999999998</v>
      </c>
      <c r="I101" s="19">
        <v>0</v>
      </c>
      <c r="J101" s="19"/>
      <c r="K101" s="19"/>
      <c r="L101" s="19">
        <v>0</v>
      </c>
      <c r="M101" s="19">
        <f t="shared" ref="M101:M103" si="29">SUM(I101:L101)</f>
        <v>0</v>
      </c>
      <c r="N101" s="35"/>
      <c r="O101" s="36"/>
      <c r="P101" s="167">
        <f t="shared" si="28"/>
        <v>0</v>
      </c>
      <c r="Q101" s="16"/>
    </row>
    <row r="102" spans="1:17" ht="18.75" customHeight="1" x14ac:dyDescent="0.3">
      <c r="A102" s="16"/>
      <c r="B102" s="14"/>
      <c r="C102" s="15"/>
      <c r="D102" s="26"/>
      <c r="E102" s="101" t="s">
        <v>220</v>
      </c>
      <c r="F102" s="26"/>
      <c r="G102" s="26">
        <f>9%*D101</f>
        <v>7.9154999999999998</v>
      </c>
      <c r="H102" s="26">
        <f>SUM(F102:G102)</f>
        <v>7.9154999999999998</v>
      </c>
      <c r="I102" s="97">
        <v>0</v>
      </c>
      <c r="J102" s="97">
        <v>0</v>
      </c>
      <c r="K102" s="97">
        <v>0</v>
      </c>
      <c r="L102" s="97">
        <v>0</v>
      </c>
      <c r="M102" s="97">
        <f t="shared" si="29"/>
        <v>0</v>
      </c>
      <c r="N102" s="35"/>
      <c r="O102" s="36"/>
      <c r="P102" s="167">
        <f t="shared" si="28"/>
        <v>35619750</v>
      </c>
      <c r="Q102" s="16"/>
    </row>
    <row r="103" spans="1:17" ht="7.5" customHeight="1" x14ac:dyDescent="0.3">
      <c r="A103" s="87"/>
      <c r="B103" s="55"/>
      <c r="C103" s="56"/>
      <c r="D103" s="57"/>
      <c r="E103" s="132"/>
      <c r="F103" s="124"/>
      <c r="G103" s="124"/>
      <c r="H103" s="124">
        <f>SUM(F103:G103)</f>
        <v>0</v>
      </c>
      <c r="I103" s="133">
        <v>0</v>
      </c>
      <c r="J103" s="133">
        <v>0</v>
      </c>
      <c r="K103" s="133">
        <v>0</v>
      </c>
      <c r="L103" s="133">
        <v>0</v>
      </c>
      <c r="M103" s="133">
        <f t="shared" si="29"/>
        <v>0</v>
      </c>
      <c r="N103" s="80"/>
      <c r="O103" s="81"/>
      <c r="P103" s="171"/>
      <c r="Q103" s="87"/>
    </row>
    <row r="104" spans="1:17" ht="18.75" customHeight="1" x14ac:dyDescent="0.3">
      <c r="A104" s="75"/>
      <c r="B104" s="72" t="s">
        <v>350</v>
      </c>
      <c r="C104" s="72"/>
      <c r="D104" s="73">
        <f>SUM(D93:D103)</f>
        <v>1246.1500000000001</v>
      </c>
      <c r="E104" s="74"/>
      <c r="F104" s="73">
        <f>SUM(F86:F103)</f>
        <v>119.4688</v>
      </c>
      <c r="G104" s="83">
        <f>SUM(G86:G103)</f>
        <v>77.169499999999999</v>
      </c>
      <c r="H104" s="73">
        <f>SUM(H86:H103)</f>
        <v>196.63830000000002</v>
      </c>
      <c r="I104" s="83">
        <f>SUM(I93:I103)</f>
        <v>0</v>
      </c>
      <c r="J104" s="83">
        <f>SUM(J93:J103)</f>
        <v>0</v>
      </c>
      <c r="K104" s="83">
        <f>SUM(K93:K103)</f>
        <v>0</v>
      </c>
      <c r="L104" s="83">
        <f>SUM(L93:L103)</f>
        <v>19</v>
      </c>
      <c r="M104" s="83">
        <f>SUM(M92:M103)</f>
        <v>19</v>
      </c>
      <c r="N104" s="76"/>
      <c r="O104" s="77"/>
      <c r="P104" s="168">
        <f>SUM(P93:P103)</f>
        <v>347262749.99999994</v>
      </c>
      <c r="Q104" s="75"/>
    </row>
    <row r="105" spans="1:17" ht="8.25" customHeight="1" x14ac:dyDescent="0.3">
      <c r="F105" s="2"/>
      <c r="G105" s="2"/>
      <c r="H105" s="2"/>
      <c r="I105" s="2"/>
      <c r="J105" s="2"/>
      <c r="K105" s="2"/>
      <c r="L105" s="2"/>
      <c r="M105" s="2"/>
    </row>
    <row r="106" spans="1:17" ht="14.25" customHeight="1" x14ac:dyDescent="0.3">
      <c r="F106" s="2"/>
      <c r="G106" s="2"/>
      <c r="H106" s="2"/>
      <c r="I106" s="2"/>
      <c r="J106" s="2" t="s">
        <v>277</v>
      </c>
      <c r="K106" s="2"/>
      <c r="L106" s="2"/>
      <c r="M106" s="2"/>
    </row>
    <row r="107" spans="1:17" ht="12" customHeight="1" x14ac:dyDescent="0.3">
      <c r="A107" s="395" t="s">
        <v>80</v>
      </c>
      <c r="B107" s="395"/>
      <c r="C107" s="395"/>
      <c r="D107" s="395"/>
    </row>
    <row r="108" spans="1:17" x14ac:dyDescent="0.3">
      <c r="A108" s="395" t="s">
        <v>81</v>
      </c>
      <c r="B108" s="395"/>
      <c r="C108" s="395"/>
      <c r="D108" s="395"/>
      <c r="J108" s="1" t="s">
        <v>85</v>
      </c>
    </row>
    <row r="109" spans="1:17" x14ac:dyDescent="0.3">
      <c r="A109" s="395" t="s">
        <v>82</v>
      </c>
      <c r="B109" s="395"/>
      <c r="C109" s="395"/>
      <c r="D109" s="395"/>
      <c r="J109" s="3" t="s">
        <v>86</v>
      </c>
      <c r="K109" s="1" t="s">
        <v>87</v>
      </c>
      <c r="O109" s="1" t="s">
        <v>90</v>
      </c>
    </row>
    <row r="110" spans="1:17" x14ac:dyDescent="0.3">
      <c r="A110" s="395" t="s">
        <v>83</v>
      </c>
      <c r="B110" s="395"/>
      <c r="C110" s="395"/>
      <c r="D110" s="395"/>
      <c r="K110" s="1" t="s">
        <v>91</v>
      </c>
    </row>
    <row r="111" spans="1:17" ht="13.5" customHeight="1" x14ac:dyDescent="0.3"/>
    <row r="112" spans="1:17" x14ac:dyDescent="0.3">
      <c r="J112" s="3" t="s">
        <v>88</v>
      </c>
      <c r="K112" s="1" t="s">
        <v>89</v>
      </c>
      <c r="O112" s="1" t="s">
        <v>90</v>
      </c>
    </row>
    <row r="113" spans="1:15" x14ac:dyDescent="0.3">
      <c r="K113" s="1" t="s">
        <v>92</v>
      </c>
    </row>
    <row r="114" spans="1:15" x14ac:dyDescent="0.3">
      <c r="A114" s="398" t="s">
        <v>175</v>
      </c>
      <c r="B114" s="398"/>
      <c r="C114" s="398"/>
      <c r="D114" s="398"/>
    </row>
    <row r="115" spans="1:15" x14ac:dyDescent="0.3">
      <c r="A115" s="395" t="s">
        <v>190</v>
      </c>
      <c r="B115" s="395"/>
      <c r="C115" s="395"/>
      <c r="D115" s="395"/>
      <c r="J115" s="1" t="s">
        <v>254</v>
      </c>
      <c r="K115" s="1" t="s">
        <v>255</v>
      </c>
      <c r="O115" s="1" t="s">
        <v>90</v>
      </c>
    </row>
    <row r="116" spans="1:15" x14ac:dyDescent="0.3">
      <c r="K116" s="1" t="s">
        <v>256</v>
      </c>
    </row>
  </sheetData>
  <mergeCells count="19">
    <mergeCell ref="A114:D114"/>
    <mergeCell ref="A115:D115"/>
    <mergeCell ref="B7:C7"/>
    <mergeCell ref="O26:O30"/>
    <mergeCell ref="A107:D107"/>
    <mergeCell ref="A108:D108"/>
    <mergeCell ref="A109:D109"/>
    <mergeCell ref="A110:D110"/>
    <mergeCell ref="A1:Q1"/>
    <mergeCell ref="A2:Q2"/>
    <mergeCell ref="A6:A7"/>
    <mergeCell ref="B6:C6"/>
    <mergeCell ref="D6:D7"/>
    <mergeCell ref="E6:E7"/>
    <mergeCell ref="F6:H6"/>
    <mergeCell ref="I6:M6"/>
    <mergeCell ref="N6:O7"/>
    <mergeCell ref="Q6:Q7"/>
    <mergeCell ref="P6:P7"/>
  </mergeCells>
  <pageMargins left="0.54" right="0.70866141732283472" top="0.74803149606299213" bottom="0.74803149606299213" header="0.31496062992125984" footer="0.31496062992125984"/>
  <pageSetup paperSize="5" scale="90" orientation="landscape" horizontalDpi="4294967293"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T116"/>
  <sheetViews>
    <sheetView view="pageBreakPreview" topLeftCell="A61" zoomScale="96" zoomScaleNormal="100" zoomScaleSheetLayoutView="96" workbookViewId="0">
      <selection activeCell="B92" sqref="B92"/>
    </sheetView>
  </sheetViews>
  <sheetFormatPr defaultColWidth="9.1796875" defaultRowHeight="14" x14ac:dyDescent="0.3"/>
  <cols>
    <col min="1" max="1" width="8.54296875" style="1" customWidth="1"/>
    <col min="2" max="2" width="2.1796875" style="1" customWidth="1"/>
    <col min="3" max="3" width="17" style="1" customWidth="1"/>
    <col min="4" max="4" width="10" style="1" customWidth="1"/>
    <col min="5" max="5" width="22" style="1" customWidth="1"/>
    <col min="6" max="6" width="10" style="1" bestFit="1" customWidth="1"/>
    <col min="7" max="7" width="8.81640625" style="1" customWidth="1"/>
    <col min="8" max="8" width="9" style="1" customWidth="1"/>
    <col min="9" max="9" width="6.7265625" style="1" customWidth="1"/>
    <col min="10" max="10" width="7" style="1" customWidth="1"/>
    <col min="11" max="12" width="7.54296875" style="1" customWidth="1"/>
    <col min="13" max="13" width="6.81640625" style="1" bestFit="1" customWidth="1"/>
    <col min="14" max="14" width="2.1796875" style="1" customWidth="1"/>
    <col min="15" max="15" width="20.1796875" style="1" customWidth="1"/>
    <col min="16" max="16" width="16.7265625" style="1" customWidth="1"/>
    <col min="17" max="17" width="10.26953125" style="1" customWidth="1"/>
    <col min="18" max="16384" width="9.1796875" style="1"/>
  </cols>
  <sheetData>
    <row r="1" spans="1:20" x14ac:dyDescent="0.3">
      <c r="A1" s="385" t="s">
        <v>260</v>
      </c>
      <c r="B1" s="385"/>
      <c r="C1" s="385"/>
      <c r="D1" s="385"/>
      <c r="E1" s="385"/>
      <c r="F1" s="385"/>
      <c r="G1" s="385"/>
      <c r="H1" s="385"/>
      <c r="I1" s="385"/>
      <c r="J1" s="385"/>
      <c r="K1" s="385"/>
      <c r="L1" s="385"/>
      <c r="M1" s="385"/>
      <c r="N1" s="385"/>
      <c r="O1" s="385"/>
      <c r="P1" s="385"/>
      <c r="Q1" s="385"/>
    </row>
    <row r="2" spans="1:20" ht="14.25" customHeight="1" x14ac:dyDescent="0.3">
      <c r="A2" s="385" t="s">
        <v>261</v>
      </c>
      <c r="B2" s="385"/>
      <c r="C2" s="385"/>
      <c r="D2" s="385"/>
      <c r="E2" s="385"/>
      <c r="F2" s="385"/>
      <c r="G2" s="385"/>
      <c r="H2" s="385"/>
      <c r="I2" s="385"/>
      <c r="J2" s="385"/>
      <c r="K2" s="385"/>
      <c r="L2" s="385"/>
      <c r="M2" s="385"/>
      <c r="N2" s="385"/>
      <c r="O2" s="385"/>
      <c r="P2" s="385"/>
      <c r="Q2" s="385"/>
    </row>
    <row r="3" spans="1:20" ht="14.25" customHeight="1" x14ac:dyDescent="0.3">
      <c r="A3" s="1" t="s">
        <v>1</v>
      </c>
      <c r="B3" s="1" t="s">
        <v>78</v>
      </c>
      <c r="C3" s="1" t="s">
        <v>77</v>
      </c>
    </row>
    <row r="4" spans="1:20" ht="14.25" customHeight="1" x14ac:dyDescent="0.3">
      <c r="A4" s="1" t="s">
        <v>2</v>
      </c>
      <c r="B4" s="1" t="s">
        <v>78</v>
      </c>
      <c r="C4" s="4" t="s">
        <v>281</v>
      </c>
    </row>
    <row r="6" spans="1:20" x14ac:dyDescent="0.3">
      <c r="A6" s="386" t="s">
        <v>3</v>
      </c>
      <c r="B6" s="388" t="s">
        <v>4</v>
      </c>
      <c r="C6" s="388"/>
      <c r="D6" s="389" t="s">
        <v>259</v>
      </c>
      <c r="E6" s="391" t="s">
        <v>7</v>
      </c>
      <c r="F6" s="393" t="s">
        <v>170</v>
      </c>
      <c r="G6" s="393"/>
      <c r="H6" s="393"/>
      <c r="I6" s="393" t="s">
        <v>12</v>
      </c>
      <c r="J6" s="393"/>
      <c r="K6" s="393"/>
      <c r="L6" s="393"/>
      <c r="M6" s="393"/>
      <c r="N6" s="391" t="s">
        <v>17</v>
      </c>
      <c r="O6" s="391"/>
      <c r="P6" s="391" t="s">
        <v>258</v>
      </c>
      <c r="Q6" s="386" t="s">
        <v>192</v>
      </c>
    </row>
    <row r="7" spans="1:20" x14ac:dyDescent="0.3">
      <c r="A7" s="387"/>
      <c r="B7" s="394" t="s">
        <v>5</v>
      </c>
      <c r="C7" s="394"/>
      <c r="D7" s="390"/>
      <c r="E7" s="392"/>
      <c r="F7" s="147" t="s">
        <v>9</v>
      </c>
      <c r="G7" s="147" t="s">
        <v>10</v>
      </c>
      <c r="H7" s="147" t="s">
        <v>11</v>
      </c>
      <c r="I7" s="147" t="s">
        <v>16</v>
      </c>
      <c r="J7" s="147" t="s">
        <v>13</v>
      </c>
      <c r="K7" s="147" t="s">
        <v>14</v>
      </c>
      <c r="L7" s="148" t="s">
        <v>257</v>
      </c>
      <c r="M7" s="147" t="s">
        <v>11</v>
      </c>
      <c r="N7" s="392"/>
      <c r="O7" s="392"/>
      <c r="P7" s="392"/>
      <c r="Q7" s="387"/>
    </row>
    <row r="8" spans="1:20" ht="9" customHeight="1" x14ac:dyDescent="0.3">
      <c r="A8" s="5"/>
      <c r="B8" s="8"/>
      <c r="C8" s="10"/>
      <c r="D8" s="5"/>
      <c r="E8" s="5"/>
      <c r="F8" s="5"/>
      <c r="G8" s="5"/>
      <c r="H8" s="5"/>
      <c r="I8" s="5"/>
      <c r="J8" s="5"/>
      <c r="K8" s="5"/>
      <c r="L8" s="5"/>
      <c r="M8" s="5"/>
      <c r="N8" s="8"/>
      <c r="O8" s="10"/>
      <c r="P8" s="10"/>
      <c r="Q8" s="5"/>
    </row>
    <row r="9" spans="1:20" ht="18.75" customHeight="1" x14ac:dyDescent="0.3">
      <c r="A9" s="13">
        <v>1</v>
      </c>
      <c r="B9" s="14" t="s">
        <v>20</v>
      </c>
      <c r="C9" s="15"/>
      <c r="D9" s="16"/>
      <c r="E9" s="47"/>
      <c r="F9" s="16"/>
      <c r="G9" s="16"/>
      <c r="H9" s="16"/>
      <c r="I9" s="16"/>
      <c r="J9" s="16"/>
      <c r="K9" s="16"/>
      <c r="L9" s="16"/>
      <c r="M9" s="16"/>
      <c r="N9" s="35"/>
      <c r="O9" s="36"/>
      <c r="P9" s="36"/>
      <c r="Q9" s="16"/>
    </row>
    <row r="10" spans="1:20" ht="18.75" customHeight="1" x14ac:dyDescent="0.3">
      <c r="A10" s="13"/>
      <c r="B10" s="17" t="s">
        <v>57</v>
      </c>
      <c r="C10" s="15" t="s">
        <v>21</v>
      </c>
      <c r="D10" s="18">
        <v>418.06</v>
      </c>
      <c r="E10" s="47" t="s">
        <v>36</v>
      </c>
      <c r="F10" s="26">
        <f>4%*D10</f>
        <v>16.7224</v>
      </c>
      <c r="G10" s="26">
        <f>0%*D10</f>
        <v>0</v>
      </c>
      <c r="H10" s="26">
        <f>SUM(F10:G10)</f>
        <v>16.7224</v>
      </c>
      <c r="I10" s="19">
        <v>0</v>
      </c>
      <c r="J10" s="19"/>
      <c r="K10" s="19">
        <v>3</v>
      </c>
      <c r="L10" s="19">
        <v>2</v>
      </c>
      <c r="M10" s="20">
        <f>SUM(I10:L10)</f>
        <v>5</v>
      </c>
      <c r="N10" s="37"/>
      <c r="O10" s="36"/>
      <c r="P10" s="172"/>
      <c r="Q10" s="16"/>
      <c r="S10" s="1" t="s">
        <v>333</v>
      </c>
      <c r="T10" s="1" t="s">
        <v>334</v>
      </c>
    </row>
    <row r="11" spans="1:20" ht="18.75" customHeight="1" x14ac:dyDescent="0.3">
      <c r="A11" s="13"/>
      <c r="B11" s="14"/>
      <c r="C11" s="15"/>
      <c r="D11" s="18"/>
      <c r="E11" s="47" t="s">
        <v>37</v>
      </c>
      <c r="F11" s="26">
        <f>4%*D10</f>
        <v>16.7224</v>
      </c>
      <c r="G11" s="26">
        <f>0%*D10</f>
        <v>0</v>
      </c>
      <c r="H11" s="26">
        <f>SUM(F11:G11)</f>
        <v>16.7224</v>
      </c>
      <c r="I11" s="19">
        <v>0</v>
      </c>
      <c r="J11" s="19"/>
      <c r="K11" s="19"/>
      <c r="L11" s="19">
        <v>3</v>
      </c>
      <c r="M11" s="20">
        <f t="shared" ref="M11:M23" si="0">SUM(I11:L11)</f>
        <v>3</v>
      </c>
      <c r="N11" s="37" t="s">
        <v>51</v>
      </c>
      <c r="O11" s="38" t="s">
        <v>50</v>
      </c>
      <c r="P11" s="172"/>
      <c r="Q11" s="16"/>
    </row>
    <row r="12" spans="1:20" ht="18.75" customHeight="1" x14ac:dyDescent="0.3">
      <c r="A12" s="13"/>
      <c r="B12" s="14"/>
      <c r="C12" s="15"/>
      <c r="D12" s="18"/>
      <c r="E12" s="47" t="s">
        <v>38</v>
      </c>
      <c r="F12" s="26">
        <f>3%*D10</f>
        <v>12.5418</v>
      </c>
      <c r="G12" s="26">
        <f>0%*D10</f>
        <v>0</v>
      </c>
      <c r="H12" s="26">
        <f>SUM(F12:G12)</f>
        <v>12.5418</v>
      </c>
      <c r="I12" s="19">
        <v>0</v>
      </c>
      <c r="J12" s="19"/>
      <c r="K12" s="19">
        <v>3</v>
      </c>
      <c r="L12" s="19">
        <v>1</v>
      </c>
      <c r="M12" s="20">
        <f t="shared" si="0"/>
        <v>4</v>
      </c>
      <c r="N12" s="37" t="s">
        <v>51</v>
      </c>
      <c r="O12" s="36" t="s">
        <v>49</v>
      </c>
      <c r="P12" s="172"/>
      <c r="Q12" s="16"/>
    </row>
    <row r="13" spans="1:20" ht="28.5" customHeight="1" x14ac:dyDescent="0.3">
      <c r="A13" s="13"/>
      <c r="B13" s="14"/>
      <c r="C13" s="15"/>
      <c r="D13" s="18"/>
      <c r="E13" s="48" t="s">
        <v>39</v>
      </c>
      <c r="F13" s="96">
        <f>20%*D10</f>
        <v>83.612000000000009</v>
      </c>
      <c r="G13" s="96">
        <f>0%*D10</f>
        <v>0</v>
      </c>
      <c r="H13" s="96">
        <f>SUM(F13:G13)</f>
        <v>83.612000000000009</v>
      </c>
      <c r="I13" s="97">
        <v>0</v>
      </c>
      <c r="J13" s="97">
        <v>0</v>
      </c>
      <c r="K13" s="97">
        <v>0</v>
      </c>
      <c r="L13" s="97">
        <v>2</v>
      </c>
      <c r="M13" s="121">
        <f t="shared" si="0"/>
        <v>2</v>
      </c>
      <c r="N13" s="39" t="s">
        <v>51</v>
      </c>
      <c r="O13" s="40" t="s">
        <v>48</v>
      </c>
      <c r="P13" s="172"/>
      <c r="Q13" s="16"/>
    </row>
    <row r="14" spans="1:20" ht="18.75" customHeight="1" x14ac:dyDescent="0.3">
      <c r="A14" s="13"/>
      <c r="B14" s="17" t="s">
        <v>58</v>
      </c>
      <c r="C14" s="15" t="s">
        <v>22</v>
      </c>
      <c r="D14" s="18">
        <v>827.82</v>
      </c>
      <c r="E14" s="47" t="s">
        <v>36</v>
      </c>
      <c r="F14" s="26">
        <f>5%*D14</f>
        <v>41.391000000000005</v>
      </c>
      <c r="G14" s="26">
        <f>1%*D14</f>
        <v>8.2782</v>
      </c>
      <c r="H14" s="26">
        <f>SUM(F14:G14)</f>
        <v>49.669200000000004</v>
      </c>
      <c r="I14" s="19">
        <v>0</v>
      </c>
      <c r="J14" s="19"/>
      <c r="K14" s="19">
        <v>5</v>
      </c>
      <c r="L14" s="19">
        <v>4</v>
      </c>
      <c r="M14" s="20">
        <f t="shared" si="0"/>
        <v>9</v>
      </c>
      <c r="N14" s="35" t="s">
        <v>51</v>
      </c>
      <c r="O14" s="41" t="s">
        <v>137</v>
      </c>
      <c r="P14" s="172"/>
      <c r="Q14" s="16"/>
    </row>
    <row r="15" spans="1:20" ht="18.75" customHeight="1" x14ac:dyDescent="0.3">
      <c r="A15" s="13"/>
      <c r="B15" s="14"/>
      <c r="C15" s="15"/>
      <c r="D15" s="26"/>
      <c r="E15" s="47" t="s">
        <v>37</v>
      </c>
      <c r="F15" s="26">
        <f>3%*D14</f>
        <v>24.834600000000002</v>
      </c>
      <c r="G15" s="26">
        <f>2%*D14</f>
        <v>16.5564</v>
      </c>
      <c r="H15" s="26">
        <f t="shared" ref="H15:H17" si="1">SUM(F15:G15)</f>
        <v>41.391000000000005</v>
      </c>
      <c r="I15" s="19">
        <v>0</v>
      </c>
      <c r="J15" s="19"/>
      <c r="K15" s="19">
        <v>5</v>
      </c>
      <c r="L15" s="19">
        <v>4</v>
      </c>
      <c r="M15" s="20">
        <f t="shared" si="0"/>
        <v>9</v>
      </c>
      <c r="N15" s="35"/>
      <c r="O15" s="36"/>
      <c r="P15" s="172"/>
      <c r="Q15" s="16"/>
    </row>
    <row r="16" spans="1:20" ht="18.75" customHeight="1" x14ac:dyDescent="0.3">
      <c r="A16" s="13"/>
      <c r="B16" s="14"/>
      <c r="C16" s="15"/>
      <c r="D16" s="26"/>
      <c r="E16" s="47" t="s">
        <v>38</v>
      </c>
      <c r="F16" s="26">
        <f>4%*D14</f>
        <v>33.1128</v>
      </c>
      <c r="G16" s="26">
        <f>3%*D14</f>
        <v>24.834600000000002</v>
      </c>
      <c r="H16" s="26">
        <f t="shared" si="1"/>
        <v>57.947400000000002</v>
      </c>
      <c r="I16" s="19">
        <v>0</v>
      </c>
      <c r="J16" s="19"/>
      <c r="K16" s="19">
        <v>5</v>
      </c>
      <c r="L16" s="19">
        <v>4</v>
      </c>
      <c r="M16" s="20">
        <f t="shared" si="0"/>
        <v>9</v>
      </c>
      <c r="N16" s="35"/>
      <c r="O16" s="36"/>
      <c r="P16" s="172"/>
      <c r="Q16" s="16"/>
    </row>
    <row r="17" spans="1:17" ht="29.25" customHeight="1" x14ac:dyDescent="0.3">
      <c r="A17" s="54"/>
      <c r="B17" s="55"/>
      <c r="C17" s="56"/>
      <c r="D17" s="57"/>
      <c r="E17" s="58" t="s">
        <v>39</v>
      </c>
      <c r="F17" s="119">
        <f>6%*D14</f>
        <v>49.669200000000004</v>
      </c>
      <c r="G17" s="119">
        <f>8%*D14</f>
        <v>66.2256</v>
      </c>
      <c r="H17" s="119">
        <f t="shared" si="1"/>
        <v>115.8948</v>
      </c>
      <c r="I17" s="59">
        <v>0</v>
      </c>
      <c r="J17" s="59">
        <v>0</v>
      </c>
      <c r="K17" s="59">
        <v>0</v>
      </c>
      <c r="L17" s="59">
        <v>4</v>
      </c>
      <c r="M17" s="60">
        <f t="shared" si="0"/>
        <v>4</v>
      </c>
      <c r="N17" s="42"/>
      <c r="O17" s="38"/>
      <c r="P17" s="172"/>
      <c r="Q17" s="29"/>
    </row>
    <row r="18" spans="1:17" ht="15" customHeight="1" x14ac:dyDescent="0.3">
      <c r="A18" s="54"/>
      <c r="B18" s="55" t="s">
        <v>59</v>
      </c>
      <c r="C18" s="56" t="s">
        <v>27</v>
      </c>
      <c r="D18" s="18">
        <v>113.45</v>
      </c>
      <c r="E18" s="47" t="s">
        <v>36</v>
      </c>
      <c r="F18" s="26">
        <f>50%*D18</f>
        <v>56.725000000000001</v>
      </c>
      <c r="G18" s="26">
        <f>4%*D18</f>
        <v>4.5380000000000003</v>
      </c>
      <c r="H18" s="26">
        <f>SUM(F18:G18)</f>
        <v>61.263000000000005</v>
      </c>
      <c r="I18" s="19">
        <v>0</v>
      </c>
      <c r="J18" s="19"/>
      <c r="K18" s="19">
        <v>3</v>
      </c>
      <c r="L18" s="19"/>
      <c r="M18" s="20">
        <f t="shared" si="0"/>
        <v>3</v>
      </c>
      <c r="N18" s="42"/>
      <c r="O18" s="38"/>
      <c r="P18" s="172"/>
      <c r="Q18" s="29"/>
    </row>
    <row r="19" spans="1:17" ht="15" customHeight="1" x14ac:dyDescent="0.3">
      <c r="A19" s="54"/>
      <c r="B19" s="55"/>
      <c r="C19" s="56"/>
      <c r="D19" s="26"/>
      <c r="E19" s="47" t="s">
        <v>37</v>
      </c>
      <c r="F19" s="26">
        <f>2%*D18</f>
        <v>2.2690000000000001</v>
      </c>
      <c r="G19" s="26">
        <f>5%*D18</f>
        <v>5.6725000000000003</v>
      </c>
      <c r="H19" s="26">
        <f t="shared" ref="H19:H20" si="2">SUM(F19:G19)</f>
        <v>7.9415000000000004</v>
      </c>
      <c r="I19" s="19">
        <v>0</v>
      </c>
      <c r="J19" s="19"/>
      <c r="K19" s="19">
        <v>4</v>
      </c>
      <c r="L19" s="19">
        <v>1</v>
      </c>
      <c r="M19" s="20">
        <f t="shared" si="0"/>
        <v>5</v>
      </c>
      <c r="N19" s="42"/>
      <c r="O19" s="38"/>
      <c r="P19" s="172"/>
      <c r="Q19" s="29"/>
    </row>
    <row r="20" spans="1:17" ht="14.25" customHeight="1" x14ac:dyDescent="0.3">
      <c r="A20" s="54"/>
      <c r="B20" s="55"/>
      <c r="C20" s="56"/>
      <c r="D20" s="26"/>
      <c r="E20" s="47" t="s">
        <v>38</v>
      </c>
      <c r="F20" s="26">
        <f>2%*D18</f>
        <v>2.2690000000000001</v>
      </c>
      <c r="G20" s="26">
        <f>30%*D18</f>
        <v>34.034999999999997</v>
      </c>
      <c r="H20" s="26">
        <f t="shared" si="2"/>
        <v>36.303999999999995</v>
      </c>
      <c r="I20" s="19">
        <v>0</v>
      </c>
      <c r="J20" s="19"/>
      <c r="K20" s="19">
        <v>3</v>
      </c>
      <c r="L20" s="19">
        <v>1</v>
      </c>
      <c r="M20" s="20">
        <f t="shared" si="0"/>
        <v>4</v>
      </c>
      <c r="N20" s="42"/>
      <c r="O20" s="38"/>
      <c r="P20" s="172"/>
      <c r="Q20" s="29"/>
    </row>
    <row r="21" spans="1:17" ht="18.75" customHeight="1" x14ac:dyDescent="0.3">
      <c r="A21" s="13"/>
      <c r="B21" s="17" t="s">
        <v>60</v>
      </c>
      <c r="C21" s="15" t="s">
        <v>42</v>
      </c>
      <c r="D21" s="18">
        <v>526.28</v>
      </c>
      <c r="E21" s="47" t="s">
        <v>36</v>
      </c>
      <c r="F21" s="26">
        <f>50%*D18</f>
        <v>56.725000000000001</v>
      </c>
      <c r="G21" s="26">
        <f>5%*D21</f>
        <v>26.314</v>
      </c>
      <c r="H21" s="26">
        <f>SUM(F21:G21)</f>
        <v>83.039000000000001</v>
      </c>
      <c r="I21" s="19">
        <v>0</v>
      </c>
      <c r="J21" s="19"/>
      <c r="K21" s="19"/>
      <c r="L21" s="19">
        <v>4</v>
      </c>
      <c r="M21" s="20">
        <f t="shared" si="0"/>
        <v>4</v>
      </c>
      <c r="N21" s="35"/>
      <c r="O21" s="36"/>
      <c r="P21" s="172"/>
      <c r="Q21" s="29"/>
    </row>
    <row r="22" spans="1:17" ht="18.75" customHeight="1" x14ac:dyDescent="0.3">
      <c r="A22" s="13"/>
      <c r="B22" s="14"/>
      <c r="C22" s="15"/>
      <c r="D22" s="26"/>
      <c r="E22" s="47" t="s">
        <v>37</v>
      </c>
      <c r="F22" s="26">
        <f>43%*D21</f>
        <v>226.3004</v>
      </c>
      <c r="G22" s="26">
        <f>3%*D21</f>
        <v>15.788399999999999</v>
      </c>
      <c r="H22" s="26">
        <f t="shared" ref="H22:H23" si="3">SUM(F22:G22)</f>
        <v>242.08879999999999</v>
      </c>
      <c r="I22" s="19">
        <v>0</v>
      </c>
      <c r="J22" s="19"/>
      <c r="K22" s="19"/>
      <c r="L22" s="19">
        <v>4</v>
      </c>
      <c r="M22" s="20">
        <f t="shared" si="0"/>
        <v>4</v>
      </c>
      <c r="N22" s="35"/>
      <c r="O22" s="36"/>
      <c r="P22" s="172"/>
      <c r="Q22" s="29"/>
    </row>
    <row r="23" spans="1:17" ht="18.75" customHeight="1" x14ac:dyDescent="0.3">
      <c r="A23" s="13"/>
      <c r="B23" s="14"/>
      <c r="C23" s="15"/>
      <c r="D23" s="26"/>
      <c r="E23" s="47" t="s">
        <v>38</v>
      </c>
      <c r="F23" s="26">
        <f>2%*D21</f>
        <v>10.525599999999999</v>
      </c>
      <c r="G23" s="26">
        <f>35%*D21</f>
        <v>184.19799999999998</v>
      </c>
      <c r="H23" s="26">
        <f t="shared" si="3"/>
        <v>194.72359999999998</v>
      </c>
      <c r="I23" s="19">
        <v>0</v>
      </c>
      <c r="J23" s="19"/>
      <c r="K23" s="19"/>
      <c r="L23" s="19">
        <v>3</v>
      </c>
      <c r="M23" s="20">
        <f t="shared" si="0"/>
        <v>3</v>
      </c>
      <c r="N23" s="80"/>
      <c r="O23" s="81"/>
      <c r="P23" s="172"/>
      <c r="Q23" s="88"/>
    </row>
    <row r="24" spans="1:17" ht="18.75" customHeight="1" x14ac:dyDescent="0.3">
      <c r="A24" s="89"/>
      <c r="B24" s="402" t="s">
        <v>325</v>
      </c>
      <c r="C24" s="403"/>
      <c r="D24" s="73">
        <f>SUM(D9:D17)</f>
        <v>1245.8800000000001</v>
      </c>
      <c r="E24" s="74"/>
      <c r="F24" s="118">
        <f>SUM(F9:F17)</f>
        <v>278.6062</v>
      </c>
      <c r="G24" s="118">
        <f>SUM(G9:G17)</f>
        <v>115.8948</v>
      </c>
      <c r="H24" s="118">
        <f>SUM(H9:H17)</f>
        <v>394.50100000000009</v>
      </c>
      <c r="I24" s="75">
        <f>SUM(I9:I17)</f>
        <v>0</v>
      </c>
      <c r="J24" s="75">
        <f>SUM(J9:J17)</f>
        <v>0</v>
      </c>
      <c r="K24" s="75">
        <f>SUM(K8:K23)</f>
        <v>31</v>
      </c>
      <c r="L24" s="160">
        <f>SUM(L10:L23)</f>
        <v>37</v>
      </c>
      <c r="M24" s="75">
        <f>SUM(M9:M17)</f>
        <v>45</v>
      </c>
      <c r="N24" s="76"/>
      <c r="O24" s="77"/>
      <c r="P24" s="173">
        <f>SUM(P10:P23)</f>
        <v>0</v>
      </c>
      <c r="Q24" s="75"/>
    </row>
    <row r="25" spans="1:17" ht="18.75" customHeight="1" x14ac:dyDescent="0.3">
      <c r="A25" s="63">
        <v>2</v>
      </c>
      <c r="B25" s="64" t="s">
        <v>23</v>
      </c>
      <c r="C25" s="65"/>
      <c r="D25" s="66"/>
      <c r="E25" s="67"/>
      <c r="F25" s="68"/>
      <c r="G25" s="68"/>
      <c r="H25" s="68"/>
      <c r="I25" s="68"/>
      <c r="J25" s="68"/>
      <c r="K25" s="68"/>
      <c r="L25" s="68"/>
      <c r="M25" s="68"/>
      <c r="N25" s="69"/>
      <c r="O25" s="70"/>
      <c r="P25" s="70"/>
      <c r="Q25" s="68"/>
    </row>
    <row r="26" spans="1:17" ht="18.75" customHeight="1" x14ac:dyDescent="0.3">
      <c r="A26" s="13"/>
      <c r="B26" s="14" t="s">
        <v>57</v>
      </c>
      <c r="C26" s="15" t="s">
        <v>22</v>
      </c>
      <c r="D26" s="26">
        <v>202.18</v>
      </c>
      <c r="E26" s="47" t="s">
        <v>40</v>
      </c>
      <c r="F26" s="19">
        <v>0</v>
      </c>
      <c r="G26" s="19">
        <f>2%*D26</f>
        <v>4.0436000000000005</v>
      </c>
      <c r="H26" s="19">
        <f t="shared" ref="H26" si="4">SUM(F26:G26)</f>
        <v>4.0436000000000005</v>
      </c>
      <c r="I26" s="19">
        <v>0</v>
      </c>
      <c r="J26" s="19">
        <v>0</v>
      </c>
      <c r="K26" s="19">
        <v>1</v>
      </c>
      <c r="L26" s="19">
        <v>2</v>
      </c>
      <c r="M26" s="20">
        <f t="shared" ref="M26:M27" si="5">SUM(I26:L26)</f>
        <v>3</v>
      </c>
      <c r="N26" s="37" t="s">
        <v>51</v>
      </c>
      <c r="O26" s="404" t="s">
        <v>279</v>
      </c>
      <c r="P26" s="161"/>
      <c r="Q26" s="16"/>
    </row>
    <row r="27" spans="1:17" ht="18.75" customHeight="1" x14ac:dyDescent="0.3">
      <c r="A27" s="54"/>
      <c r="B27" s="55"/>
      <c r="C27" s="56"/>
      <c r="D27" s="57"/>
      <c r="E27" s="85" t="s">
        <v>251</v>
      </c>
      <c r="F27" s="79"/>
      <c r="G27" s="79">
        <f>1.25%*D26</f>
        <v>2.5272500000000004</v>
      </c>
      <c r="H27" s="79">
        <f>F27+G27</f>
        <v>2.5272500000000004</v>
      </c>
      <c r="I27" s="19">
        <v>0</v>
      </c>
      <c r="J27" s="19">
        <v>0</v>
      </c>
      <c r="K27" s="19">
        <v>3</v>
      </c>
      <c r="L27" s="19">
        <v>0</v>
      </c>
      <c r="M27" s="20">
        <f t="shared" si="5"/>
        <v>3</v>
      </c>
      <c r="N27" s="37"/>
      <c r="O27" s="404"/>
      <c r="P27" s="161"/>
      <c r="Q27" s="16"/>
    </row>
    <row r="28" spans="1:17" ht="18.75" customHeight="1" x14ac:dyDescent="0.3">
      <c r="A28" s="54"/>
      <c r="B28" s="55" t="s">
        <v>58</v>
      </c>
      <c r="C28" s="56" t="s">
        <v>42</v>
      </c>
      <c r="D28" s="57">
        <v>55</v>
      </c>
      <c r="E28" s="47" t="s">
        <v>40</v>
      </c>
      <c r="F28" s="19">
        <v>0</v>
      </c>
      <c r="G28" s="19">
        <f>9%*D28</f>
        <v>4.95</v>
      </c>
      <c r="H28" s="19">
        <f t="shared" ref="H28" si="6">SUM(F28:G28)</f>
        <v>4.95</v>
      </c>
      <c r="I28" s="19">
        <v>0</v>
      </c>
      <c r="J28" s="19"/>
      <c r="K28" s="19">
        <v>3</v>
      </c>
      <c r="L28" s="19">
        <v>0</v>
      </c>
      <c r="M28" s="20">
        <f t="shared" ref="M28:M30" si="7">SUM(I28:L28)</f>
        <v>3</v>
      </c>
      <c r="N28" s="37"/>
      <c r="O28" s="404"/>
      <c r="P28" s="161"/>
      <c r="Q28" s="16"/>
    </row>
    <row r="29" spans="1:17" ht="18.75" customHeight="1" x14ac:dyDescent="0.3">
      <c r="A29" s="54"/>
      <c r="B29" s="55"/>
      <c r="C29" s="56"/>
      <c r="D29" s="57"/>
      <c r="E29" s="85" t="s">
        <v>250</v>
      </c>
      <c r="F29" s="79"/>
      <c r="G29" s="79">
        <f>1.25%*D28</f>
        <v>0.6875</v>
      </c>
      <c r="H29" s="79">
        <f>F29+G29</f>
        <v>0.6875</v>
      </c>
      <c r="I29" s="19">
        <v>0</v>
      </c>
      <c r="J29" s="19"/>
      <c r="K29" s="19"/>
      <c r="L29" s="19">
        <v>1</v>
      </c>
      <c r="M29" s="20">
        <f t="shared" si="7"/>
        <v>1</v>
      </c>
      <c r="N29" s="37"/>
      <c r="O29" s="404"/>
      <c r="P29" s="161"/>
      <c r="Q29" s="16"/>
    </row>
    <row r="30" spans="1:17" ht="18.75" customHeight="1" x14ac:dyDescent="0.3">
      <c r="A30" s="54"/>
      <c r="B30" s="55" t="s">
        <v>59</v>
      </c>
      <c r="C30" s="56" t="s">
        <v>21</v>
      </c>
      <c r="D30" s="57">
        <v>66.94</v>
      </c>
      <c r="E30" s="47" t="s">
        <v>40</v>
      </c>
      <c r="F30" s="19">
        <v>0</v>
      </c>
      <c r="G30" s="19">
        <f>6%*D30</f>
        <v>4.0164</v>
      </c>
      <c r="H30" s="19">
        <f t="shared" ref="H30" si="8">SUM(F30:G30)</f>
        <v>4.0164</v>
      </c>
      <c r="I30" s="19">
        <v>0</v>
      </c>
      <c r="J30" s="19">
        <v>0</v>
      </c>
      <c r="K30" s="19">
        <v>2</v>
      </c>
      <c r="L30" s="19">
        <v>2</v>
      </c>
      <c r="M30" s="20">
        <f t="shared" si="7"/>
        <v>4</v>
      </c>
      <c r="N30" s="95"/>
      <c r="O30" s="399"/>
      <c r="P30" s="161"/>
      <c r="Q30" s="87"/>
    </row>
    <row r="31" spans="1:17" ht="18.75" customHeight="1" x14ac:dyDescent="0.3">
      <c r="A31" s="89"/>
      <c r="B31" s="402" t="s">
        <v>326</v>
      </c>
      <c r="C31" s="403"/>
      <c r="D31" s="73">
        <f>SUM(D25:D30)</f>
        <v>324.12</v>
      </c>
      <c r="E31" s="74"/>
      <c r="F31" s="83">
        <f t="shared" ref="F31:K31" si="9">SUM(F25:F30)</f>
        <v>0</v>
      </c>
      <c r="G31" s="83">
        <f t="shared" si="9"/>
        <v>16.22475</v>
      </c>
      <c r="H31" s="83">
        <f t="shared" si="9"/>
        <v>16.22475</v>
      </c>
      <c r="I31" s="83">
        <f t="shared" si="9"/>
        <v>0</v>
      </c>
      <c r="J31" s="83">
        <f t="shared" si="9"/>
        <v>0</v>
      </c>
      <c r="K31" s="83">
        <f t="shared" si="9"/>
        <v>9</v>
      </c>
      <c r="L31" s="83"/>
      <c r="M31" s="83">
        <f>SUM(M25:M30)</f>
        <v>14</v>
      </c>
      <c r="N31" s="76"/>
      <c r="O31" s="77"/>
      <c r="P31" s="162">
        <f>SUM(P26:P30)</f>
        <v>0</v>
      </c>
      <c r="Q31" s="75"/>
    </row>
    <row r="32" spans="1:17" ht="18.75" customHeight="1" x14ac:dyDescent="0.3">
      <c r="A32" s="63">
        <v>3</v>
      </c>
      <c r="B32" s="64" t="s">
        <v>19</v>
      </c>
      <c r="C32" s="65"/>
      <c r="D32" s="66"/>
      <c r="E32" s="67"/>
      <c r="F32" s="82"/>
      <c r="G32" s="82"/>
      <c r="H32" s="82"/>
      <c r="I32" s="82"/>
      <c r="J32" s="82"/>
      <c r="K32" s="82"/>
      <c r="L32" s="82"/>
      <c r="M32" s="82"/>
      <c r="N32" s="69"/>
      <c r="O32" s="70"/>
      <c r="P32" s="70"/>
      <c r="Q32" s="68"/>
    </row>
    <row r="33" spans="1:17" ht="15.75" customHeight="1" x14ac:dyDescent="0.3">
      <c r="A33" s="13"/>
      <c r="B33" s="14" t="s">
        <v>57</v>
      </c>
      <c r="C33" s="15" t="s">
        <v>24</v>
      </c>
      <c r="D33" s="26">
        <f>1372.4+494</f>
        <v>1866.4</v>
      </c>
      <c r="E33" s="50" t="s">
        <v>52</v>
      </c>
      <c r="F33" s="19">
        <v>0</v>
      </c>
      <c r="G33" s="26">
        <f>20%*D33</f>
        <v>373.28000000000003</v>
      </c>
      <c r="H33" s="26">
        <f>SUM(F33:G33)</f>
        <v>373.28000000000003</v>
      </c>
      <c r="I33" s="19">
        <v>0</v>
      </c>
      <c r="J33" s="19"/>
      <c r="K33" s="19">
        <v>2</v>
      </c>
      <c r="L33" s="19">
        <v>0</v>
      </c>
      <c r="M33" s="19">
        <f>SUM(I33:L33)</f>
        <v>2</v>
      </c>
      <c r="N33" s="35" t="s">
        <v>262</v>
      </c>
      <c r="O33" s="36"/>
      <c r="P33" s="161">
        <f t="shared" ref="P33:P62" si="10">G33*0.815*26%*4000000</f>
        <v>316392128</v>
      </c>
      <c r="Q33" s="16"/>
    </row>
    <row r="34" spans="1:17" ht="15" customHeight="1" x14ac:dyDescent="0.3">
      <c r="A34" s="13"/>
      <c r="B34" s="14"/>
      <c r="C34" s="15"/>
      <c r="D34" s="26"/>
      <c r="E34" s="47" t="s">
        <v>234</v>
      </c>
      <c r="F34" s="26"/>
      <c r="G34" s="26">
        <f>20%*D33</f>
        <v>373.28000000000003</v>
      </c>
      <c r="H34" s="26">
        <f>F34+G34</f>
        <v>373.28000000000003</v>
      </c>
      <c r="I34" s="19">
        <v>0</v>
      </c>
      <c r="J34" s="19"/>
      <c r="K34" s="19">
        <v>3</v>
      </c>
      <c r="L34" s="19">
        <v>4</v>
      </c>
      <c r="M34" s="19">
        <f>SUM(I34:L34)</f>
        <v>7</v>
      </c>
      <c r="N34" s="35" t="s">
        <v>263</v>
      </c>
      <c r="O34" s="36"/>
      <c r="P34" s="161">
        <f t="shared" si="10"/>
        <v>316392128</v>
      </c>
      <c r="Q34" s="16"/>
    </row>
    <row r="35" spans="1:17" ht="18.75" customHeight="1" x14ac:dyDescent="0.3">
      <c r="A35" s="13"/>
      <c r="B35" s="14" t="s">
        <v>58</v>
      </c>
      <c r="C35" s="15" t="s">
        <v>25</v>
      </c>
      <c r="D35" s="26">
        <f>994.7+363.2</f>
        <v>1357.9</v>
      </c>
      <c r="E35" s="50" t="s">
        <v>52</v>
      </c>
      <c r="F35" s="19">
        <v>0</v>
      </c>
      <c r="G35" s="26">
        <f>10%*D35</f>
        <v>135.79000000000002</v>
      </c>
      <c r="H35" s="26">
        <f t="shared" ref="H35:H61" si="11">SUM(F35:G35)</f>
        <v>135.79000000000002</v>
      </c>
      <c r="I35" s="19">
        <v>0</v>
      </c>
      <c r="J35" s="19"/>
      <c r="K35" s="19">
        <v>6</v>
      </c>
      <c r="L35" s="19">
        <v>0</v>
      </c>
      <c r="M35" s="19">
        <f t="shared" ref="M35:M62" si="12">SUM(I35:L35)</f>
        <v>6</v>
      </c>
      <c r="N35" s="35" t="s">
        <v>264</v>
      </c>
      <c r="O35" s="36"/>
      <c r="P35" s="161">
        <f t="shared" si="10"/>
        <v>115095604.00000001</v>
      </c>
      <c r="Q35" s="16"/>
    </row>
    <row r="36" spans="1:17" ht="17.25" customHeight="1" x14ac:dyDescent="0.3">
      <c r="A36" s="13"/>
      <c r="B36" s="14" t="s">
        <v>59</v>
      </c>
      <c r="C36" s="15" t="s">
        <v>26</v>
      </c>
      <c r="D36" s="26">
        <f>976.5+338</f>
        <v>1314.5</v>
      </c>
      <c r="E36" s="50" t="s">
        <v>52</v>
      </c>
      <c r="F36" s="19">
        <v>0</v>
      </c>
      <c r="G36" s="26">
        <f>20%*D36</f>
        <v>262.90000000000003</v>
      </c>
      <c r="H36" s="26">
        <f t="shared" si="11"/>
        <v>262.90000000000003</v>
      </c>
      <c r="I36" s="19"/>
      <c r="J36" s="19"/>
      <c r="K36" s="19">
        <v>0</v>
      </c>
      <c r="L36" s="19">
        <v>5</v>
      </c>
      <c r="M36" s="19">
        <f t="shared" si="12"/>
        <v>5</v>
      </c>
      <c r="N36" s="35" t="s">
        <v>265</v>
      </c>
      <c r="O36" s="36" t="s">
        <v>266</v>
      </c>
      <c r="P36" s="161">
        <f t="shared" si="10"/>
        <v>222834040.00000003</v>
      </c>
      <c r="Q36" s="16"/>
    </row>
    <row r="37" spans="1:17" ht="15" customHeight="1" x14ac:dyDescent="0.3">
      <c r="A37" s="13"/>
      <c r="B37" s="14" t="s">
        <v>60</v>
      </c>
      <c r="C37" s="15" t="s">
        <v>55</v>
      </c>
      <c r="D37" s="26">
        <f>291.6+46.93</f>
        <v>338.53000000000003</v>
      </c>
      <c r="E37" s="50" t="s">
        <v>52</v>
      </c>
      <c r="F37" s="19">
        <v>0</v>
      </c>
      <c r="G37" s="26">
        <f>25%*D37</f>
        <v>84.632500000000007</v>
      </c>
      <c r="H37" s="26">
        <f t="shared" si="11"/>
        <v>84.632500000000007</v>
      </c>
      <c r="I37" s="19">
        <v>0</v>
      </c>
      <c r="J37" s="19">
        <v>0</v>
      </c>
      <c r="K37" s="19">
        <v>0</v>
      </c>
      <c r="L37" s="19">
        <v>0</v>
      </c>
      <c r="M37" s="19">
        <f t="shared" si="12"/>
        <v>0</v>
      </c>
      <c r="N37" s="35"/>
      <c r="O37" s="36" t="s">
        <v>267</v>
      </c>
      <c r="P37" s="161">
        <f t="shared" si="10"/>
        <v>71734507.000000015</v>
      </c>
      <c r="Q37" s="16"/>
    </row>
    <row r="38" spans="1:17" ht="18.75" customHeight="1" x14ac:dyDescent="0.3">
      <c r="A38" s="13"/>
      <c r="B38" s="14"/>
      <c r="C38" s="15"/>
      <c r="D38" s="26"/>
      <c r="E38" s="47" t="s">
        <v>235</v>
      </c>
      <c r="F38" s="26">
        <f>4%*D37</f>
        <v>13.541200000000002</v>
      </c>
      <c r="G38" s="26">
        <f>10%*D37</f>
        <v>33.853000000000002</v>
      </c>
      <c r="H38" s="26">
        <f>SUM(F38:G38)</f>
        <v>47.394200000000005</v>
      </c>
      <c r="I38" s="19"/>
      <c r="J38" s="19"/>
      <c r="K38" s="19"/>
      <c r="L38" s="19">
        <v>5</v>
      </c>
      <c r="M38" s="19">
        <f>SUM(I38:L38)</f>
        <v>5</v>
      </c>
      <c r="N38" s="35"/>
      <c r="O38" s="36" t="s">
        <v>268</v>
      </c>
      <c r="P38" s="161">
        <f t="shared" si="10"/>
        <v>28693802.800000001</v>
      </c>
      <c r="Q38" s="16"/>
    </row>
    <row r="39" spans="1:17" ht="15" customHeight="1" x14ac:dyDescent="0.3">
      <c r="A39" s="13"/>
      <c r="B39" s="14"/>
      <c r="C39" s="15"/>
      <c r="D39" s="26"/>
      <c r="E39" s="47" t="s">
        <v>234</v>
      </c>
      <c r="F39" s="26"/>
      <c r="G39" s="26">
        <f>21%*D37</f>
        <v>71.091300000000004</v>
      </c>
      <c r="H39" s="26">
        <f>F39+G39</f>
        <v>71.091300000000004</v>
      </c>
      <c r="I39" s="19"/>
      <c r="J39" s="19"/>
      <c r="K39" s="19"/>
      <c r="L39" s="19"/>
      <c r="M39" s="19"/>
      <c r="N39" s="35"/>
      <c r="O39" s="36" t="s">
        <v>269</v>
      </c>
      <c r="P39" s="161">
        <f t="shared" si="10"/>
        <v>60256985.879999995</v>
      </c>
      <c r="Q39" s="16"/>
    </row>
    <row r="40" spans="1:17" ht="14.25" customHeight="1" x14ac:dyDescent="0.3">
      <c r="A40" s="13"/>
      <c r="B40" s="14" t="s">
        <v>61</v>
      </c>
      <c r="C40" s="15" t="s">
        <v>27</v>
      </c>
      <c r="D40" s="26">
        <f>831.5+161.25</f>
        <v>992.75</v>
      </c>
      <c r="E40" s="50" t="s">
        <v>52</v>
      </c>
      <c r="F40" s="19">
        <v>0</v>
      </c>
      <c r="G40" s="26">
        <f>20%*D40</f>
        <v>198.55</v>
      </c>
      <c r="H40" s="26">
        <f t="shared" si="11"/>
        <v>198.55</v>
      </c>
      <c r="I40" s="19">
        <v>0</v>
      </c>
      <c r="J40" s="19">
        <v>0</v>
      </c>
      <c r="K40" s="19">
        <v>0</v>
      </c>
      <c r="L40" s="19">
        <v>0</v>
      </c>
      <c r="M40" s="19">
        <f t="shared" si="12"/>
        <v>0</v>
      </c>
      <c r="N40" s="35"/>
      <c r="O40" s="36" t="s">
        <v>270</v>
      </c>
      <c r="P40" s="161">
        <f t="shared" si="10"/>
        <v>168290980.00000003</v>
      </c>
      <c r="Q40" s="16"/>
    </row>
    <row r="41" spans="1:17" ht="15" customHeight="1" x14ac:dyDescent="0.3">
      <c r="A41" s="13"/>
      <c r="B41" s="14" t="s">
        <v>62</v>
      </c>
      <c r="C41" s="15" t="s">
        <v>28</v>
      </c>
      <c r="D41" s="26">
        <f>868+618.6</f>
        <v>1486.6</v>
      </c>
      <c r="E41" s="50" t="s">
        <v>52</v>
      </c>
      <c r="F41" s="19">
        <v>0</v>
      </c>
      <c r="G41" s="26">
        <f>21%*D41</f>
        <v>312.18599999999998</v>
      </c>
      <c r="H41" s="26">
        <f t="shared" si="11"/>
        <v>312.18599999999998</v>
      </c>
      <c r="I41" s="19">
        <v>0</v>
      </c>
      <c r="J41" s="19">
        <v>0</v>
      </c>
      <c r="K41" s="19">
        <v>0</v>
      </c>
      <c r="L41" s="19">
        <v>0</v>
      </c>
      <c r="M41" s="19">
        <f t="shared" si="12"/>
        <v>0</v>
      </c>
      <c r="N41" s="35"/>
      <c r="O41" s="36"/>
      <c r="P41" s="161">
        <f t="shared" si="10"/>
        <v>264608853.59999996</v>
      </c>
      <c r="Q41" s="16"/>
    </row>
    <row r="42" spans="1:17" ht="15" customHeight="1" x14ac:dyDescent="0.3">
      <c r="A42" s="13"/>
      <c r="B42" s="14" t="s">
        <v>63</v>
      </c>
      <c r="C42" s="15" t="s">
        <v>29</v>
      </c>
      <c r="D42" s="26">
        <f>1546+278.5</f>
        <v>1824.5</v>
      </c>
      <c r="E42" s="50" t="s">
        <v>52</v>
      </c>
      <c r="F42" s="19">
        <v>0</v>
      </c>
      <c r="G42" s="26">
        <f>21%*D42</f>
        <v>383.14499999999998</v>
      </c>
      <c r="H42" s="26">
        <f t="shared" si="11"/>
        <v>383.14499999999998</v>
      </c>
      <c r="I42" s="19">
        <v>0</v>
      </c>
      <c r="J42" s="19">
        <v>0</v>
      </c>
      <c r="K42" s="19">
        <v>0</v>
      </c>
      <c r="L42" s="19">
        <v>0</v>
      </c>
      <c r="M42" s="19">
        <f t="shared" si="12"/>
        <v>0</v>
      </c>
      <c r="N42" s="35"/>
      <c r="O42" s="36"/>
      <c r="P42" s="161">
        <f t="shared" si="10"/>
        <v>324753702</v>
      </c>
      <c r="Q42" s="16"/>
    </row>
    <row r="43" spans="1:17" ht="14.25" customHeight="1" x14ac:dyDescent="0.3">
      <c r="A43" s="13"/>
      <c r="B43" s="14" t="s">
        <v>64</v>
      </c>
      <c r="C43" s="15" t="s">
        <v>56</v>
      </c>
      <c r="D43" s="26">
        <f>156.4+34.9</f>
        <v>191.3</v>
      </c>
      <c r="E43" s="50" t="s">
        <v>52</v>
      </c>
      <c r="F43" s="19">
        <v>0</v>
      </c>
      <c r="G43" s="26">
        <f>10%*D43</f>
        <v>19.130000000000003</v>
      </c>
      <c r="H43" s="26">
        <f t="shared" si="11"/>
        <v>19.130000000000003</v>
      </c>
      <c r="I43" s="19">
        <v>0</v>
      </c>
      <c r="J43" s="19"/>
      <c r="K43" s="19">
        <v>5</v>
      </c>
      <c r="L43" s="19">
        <v>0</v>
      </c>
      <c r="M43" s="19">
        <f t="shared" si="12"/>
        <v>5</v>
      </c>
      <c r="N43" s="35"/>
      <c r="O43" s="36"/>
      <c r="P43" s="161">
        <f t="shared" si="10"/>
        <v>16214588.000000002</v>
      </c>
      <c r="Q43" s="16"/>
    </row>
    <row r="44" spans="1:17" ht="15" customHeight="1" x14ac:dyDescent="0.3">
      <c r="A44" s="13"/>
      <c r="B44" s="14" t="s">
        <v>65</v>
      </c>
      <c r="C44" s="15" t="s">
        <v>30</v>
      </c>
      <c r="D44" s="26">
        <f>1499.7+565.1</f>
        <v>2064.8000000000002</v>
      </c>
      <c r="E44" s="50" t="s">
        <v>52</v>
      </c>
      <c r="F44" s="19">
        <v>0</v>
      </c>
      <c r="G44" s="26">
        <f>10%*D44</f>
        <v>206.48000000000002</v>
      </c>
      <c r="H44" s="26">
        <f t="shared" si="11"/>
        <v>206.48000000000002</v>
      </c>
      <c r="I44" s="19">
        <v>0</v>
      </c>
      <c r="J44" s="19">
        <v>0</v>
      </c>
      <c r="K44" s="19">
        <v>0</v>
      </c>
      <c r="L44" s="19">
        <v>0</v>
      </c>
      <c r="M44" s="19">
        <f t="shared" si="12"/>
        <v>0</v>
      </c>
      <c r="N44" s="35"/>
      <c r="O44" s="36"/>
      <c r="P44" s="161">
        <f t="shared" si="10"/>
        <v>175012448</v>
      </c>
      <c r="Q44" s="16"/>
    </row>
    <row r="45" spans="1:17" ht="14.25" customHeight="1" x14ac:dyDescent="0.3">
      <c r="A45" s="13"/>
      <c r="B45" s="14" t="s">
        <v>66</v>
      </c>
      <c r="C45" s="15" t="s">
        <v>31</v>
      </c>
      <c r="D45" s="26">
        <f>1207+389</f>
        <v>1596</v>
      </c>
      <c r="E45" s="50" t="s">
        <v>52</v>
      </c>
      <c r="F45" s="19">
        <v>0</v>
      </c>
      <c r="G45" s="26">
        <f>10%*D45</f>
        <v>159.60000000000002</v>
      </c>
      <c r="H45" s="26">
        <f t="shared" si="11"/>
        <v>159.60000000000002</v>
      </c>
      <c r="I45" s="19">
        <v>0</v>
      </c>
      <c r="J45" s="19">
        <v>0</v>
      </c>
      <c r="K45" s="19">
        <v>0</v>
      </c>
      <c r="L45" s="19">
        <v>0</v>
      </c>
      <c r="M45" s="19">
        <f t="shared" si="12"/>
        <v>0</v>
      </c>
      <c r="N45" s="35"/>
      <c r="O45" s="36"/>
      <c r="P45" s="161">
        <f t="shared" si="10"/>
        <v>135276960.00000003</v>
      </c>
      <c r="Q45" s="16"/>
    </row>
    <row r="46" spans="1:17" ht="13.5" customHeight="1" x14ac:dyDescent="0.3">
      <c r="A46" s="13"/>
      <c r="B46" s="14" t="s">
        <v>67</v>
      </c>
      <c r="C46" s="15" t="s">
        <v>32</v>
      </c>
      <c r="D46" s="26">
        <f>998.9+79.5</f>
        <v>1078.4000000000001</v>
      </c>
      <c r="E46" s="50" t="s">
        <v>52</v>
      </c>
      <c r="F46" s="19">
        <v>0</v>
      </c>
      <c r="G46" s="26">
        <f>15%*D46</f>
        <v>161.76000000000002</v>
      </c>
      <c r="H46" s="26">
        <f t="shared" si="11"/>
        <v>161.76000000000002</v>
      </c>
      <c r="I46" s="19">
        <v>0</v>
      </c>
      <c r="J46" s="19">
        <v>0</v>
      </c>
      <c r="K46" s="19">
        <v>0</v>
      </c>
      <c r="L46" s="19">
        <v>0</v>
      </c>
      <c r="M46" s="19">
        <f t="shared" si="12"/>
        <v>0</v>
      </c>
      <c r="N46" s="35"/>
      <c r="O46" s="36"/>
      <c r="P46" s="161">
        <f t="shared" si="10"/>
        <v>137107776.00000003</v>
      </c>
      <c r="Q46" s="16"/>
    </row>
    <row r="47" spans="1:17" ht="15.75" customHeight="1" x14ac:dyDescent="0.3">
      <c r="A47" s="13"/>
      <c r="B47" s="14" t="s">
        <v>68</v>
      </c>
      <c r="C47" s="15" t="s">
        <v>33</v>
      </c>
      <c r="D47" s="26">
        <f>1304+57.5</f>
        <v>1361.5</v>
      </c>
      <c r="E47" s="50" t="s">
        <v>52</v>
      </c>
      <c r="F47" s="19">
        <v>0</v>
      </c>
      <c r="G47" s="26">
        <f>15%*D47</f>
        <v>204.22499999999999</v>
      </c>
      <c r="H47" s="26">
        <f t="shared" si="11"/>
        <v>204.22499999999999</v>
      </c>
      <c r="I47" s="19">
        <v>0</v>
      </c>
      <c r="J47" s="19"/>
      <c r="K47" s="19">
        <v>0</v>
      </c>
      <c r="L47" s="19">
        <v>0</v>
      </c>
      <c r="M47" s="19">
        <f t="shared" si="12"/>
        <v>0</v>
      </c>
      <c r="N47" s="35"/>
      <c r="O47" s="36"/>
      <c r="P47" s="161">
        <f t="shared" si="10"/>
        <v>173101109.99999997</v>
      </c>
      <c r="Q47" s="16"/>
    </row>
    <row r="48" spans="1:17" ht="14.25" customHeight="1" x14ac:dyDescent="0.3">
      <c r="A48" s="13"/>
      <c r="B48" s="14" t="s">
        <v>69</v>
      </c>
      <c r="C48" s="15" t="s">
        <v>34</v>
      </c>
      <c r="D48" s="26">
        <f>1784.1+362</f>
        <v>2146.1</v>
      </c>
      <c r="E48" s="50" t="s">
        <v>52</v>
      </c>
      <c r="F48" s="19">
        <v>0</v>
      </c>
      <c r="G48" s="26">
        <f>25%*D48</f>
        <v>536.52499999999998</v>
      </c>
      <c r="H48" s="26">
        <f t="shared" si="11"/>
        <v>536.52499999999998</v>
      </c>
      <c r="I48" s="19">
        <v>0</v>
      </c>
      <c r="J48" s="19"/>
      <c r="K48" s="19">
        <v>1</v>
      </c>
      <c r="L48" s="19">
        <v>0</v>
      </c>
      <c r="M48" s="19">
        <f t="shared" si="12"/>
        <v>1</v>
      </c>
      <c r="N48" s="35"/>
      <c r="O48" s="36"/>
      <c r="P48" s="161">
        <f t="shared" si="10"/>
        <v>454758589.99999994</v>
      </c>
      <c r="Q48" s="16"/>
    </row>
    <row r="49" spans="1:17" ht="13.5" customHeight="1" x14ac:dyDescent="0.3">
      <c r="A49" s="13"/>
      <c r="B49" s="14" t="s">
        <v>70</v>
      </c>
      <c r="C49" s="15" t="s">
        <v>35</v>
      </c>
      <c r="D49" s="26">
        <f>1557+181.5</f>
        <v>1738.5</v>
      </c>
      <c r="E49" s="50" t="s">
        <v>52</v>
      </c>
      <c r="F49" s="19">
        <v>0</v>
      </c>
      <c r="G49" s="26">
        <f>20%*D49</f>
        <v>347.70000000000005</v>
      </c>
      <c r="H49" s="26">
        <f t="shared" si="11"/>
        <v>347.70000000000005</v>
      </c>
      <c r="I49" s="19">
        <v>0</v>
      </c>
      <c r="J49" s="19">
        <v>0</v>
      </c>
      <c r="K49" s="19">
        <v>0</v>
      </c>
      <c r="L49" s="19">
        <v>0</v>
      </c>
      <c r="M49" s="19">
        <f t="shared" si="12"/>
        <v>0</v>
      </c>
      <c r="N49" s="35"/>
      <c r="O49" s="36"/>
      <c r="P49" s="161">
        <f t="shared" si="10"/>
        <v>294710520.00000006</v>
      </c>
      <c r="Q49" s="16"/>
    </row>
    <row r="50" spans="1:17" ht="18.75" customHeight="1" x14ac:dyDescent="0.3">
      <c r="A50" s="13"/>
      <c r="B50" s="14" t="s">
        <v>71</v>
      </c>
      <c r="C50" s="15" t="s">
        <v>21</v>
      </c>
      <c r="D50" s="26">
        <f>1940+114</f>
        <v>2054</v>
      </c>
      <c r="E50" s="50" t="s">
        <v>52</v>
      </c>
      <c r="F50" s="19">
        <v>0</v>
      </c>
      <c r="G50" s="26">
        <f>25%*D50</f>
        <v>513.5</v>
      </c>
      <c r="H50" s="26">
        <f t="shared" si="11"/>
        <v>513.5</v>
      </c>
      <c r="I50" s="19">
        <v>0</v>
      </c>
      <c r="J50" s="19">
        <v>0</v>
      </c>
      <c r="K50" s="19">
        <v>0</v>
      </c>
      <c r="L50" s="19">
        <v>0</v>
      </c>
      <c r="M50" s="19">
        <f t="shared" si="12"/>
        <v>0</v>
      </c>
      <c r="N50" s="35"/>
      <c r="O50" s="36"/>
      <c r="P50" s="161">
        <f t="shared" si="10"/>
        <v>435242600.00000006</v>
      </c>
      <c r="Q50" s="16"/>
    </row>
    <row r="51" spans="1:17" ht="14.25" customHeight="1" x14ac:dyDescent="0.3">
      <c r="A51" s="13"/>
      <c r="B51" s="14" t="s">
        <v>72</v>
      </c>
      <c r="C51" s="15" t="s">
        <v>42</v>
      </c>
      <c r="D51" s="26">
        <f>773.1+303.8</f>
        <v>1076.9000000000001</v>
      </c>
      <c r="E51" s="50" t="s">
        <v>52</v>
      </c>
      <c r="F51" s="19">
        <v>0</v>
      </c>
      <c r="G51" s="26">
        <f>25%*D51</f>
        <v>269.22500000000002</v>
      </c>
      <c r="H51" s="26">
        <f t="shared" si="11"/>
        <v>269.22500000000002</v>
      </c>
      <c r="I51" s="19">
        <v>0</v>
      </c>
      <c r="J51" s="19">
        <v>0</v>
      </c>
      <c r="K51" s="19">
        <v>0</v>
      </c>
      <c r="L51" s="19">
        <v>4</v>
      </c>
      <c r="M51" s="19">
        <f t="shared" si="12"/>
        <v>4</v>
      </c>
      <c r="N51" s="35"/>
      <c r="O51" s="36"/>
      <c r="P51" s="161">
        <f t="shared" si="10"/>
        <v>228195110</v>
      </c>
      <c r="Q51" s="16"/>
    </row>
    <row r="52" spans="1:17" ht="18" customHeight="1" x14ac:dyDescent="0.3">
      <c r="A52" s="13"/>
      <c r="B52" s="14" t="s">
        <v>73</v>
      </c>
      <c r="C52" s="15" t="s">
        <v>105</v>
      </c>
      <c r="D52" s="26">
        <f>153.8+8.7</f>
        <v>162.5</v>
      </c>
      <c r="E52" s="50" t="s">
        <v>52</v>
      </c>
      <c r="F52" s="19">
        <v>0</v>
      </c>
      <c r="G52" s="26">
        <f>20%*D52</f>
        <v>32.5</v>
      </c>
      <c r="H52" s="26">
        <f t="shared" si="11"/>
        <v>32.5</v>
      </c>
      <c r="I52" s="19">
        <v>0</v>
      </c>
      <c r="J52" s="19">
        <v>0</v>
      </c>
      <c r="K52" s="19">
        <v>0</v>
      </c>
      <c r="L52" s="19">
        <v>0</v>
      </c>
      <c r="M52" s="19">
        <f t="shared" si="12"/>
        <v>0</v>
      </c>
      <c r="N52" s="35"/>
      <c r="O52" s="36"/>
      <c r="P52" s="161">
        <f t="shared" si="10"/>
        <v>27546999.999999996</v>
      </c>
      <c r="Q52" s="16"/>
    </row>
    <row r="53" spans="1:17" ht="16.5" customHeight="1" x14ac:dyDescent="0.3">
      <c r="A53" s="13"/>
      <c r="B53" s="14" t="s">
        <v>74</v>
      </c>
      <c r="C53" s="15" t="s">
        <v>110</v>
      </c>
      <c r="D53" s="26">
        <f>695+48.2</f>
        <v>743.2</v>
      </c>
      <c r="E53" s="50" t="s">
        <v>52</v>
      </c>
      <c r="F53" s="19">
        <v>0</v>
      </c>
      <c r="G53" s="26">
        <f>15%*D53</f>
        <v>111.48</v>
      </c>
      <c r="H53" s="26">
        <f t="shared" si="11"/>
        <v>111.48</v>
      </c>
      <c r="I53" s="19">
        <v>0</v>
      </c>
      <c r="J53" s="19">
        <v>0</v>
      </c>
      <c r="K53" s="19">
        <v>0</v>
      </c>
      <c r="L53" s="19">
        <v>0</v>
      </c>
      <c r="M53" s="19">
        <f t="shared" si="12"/>
        <v>0</v>
      </c>
      <c r="N53" s="35"/>
      <c r="O53" s="36"/>
      <c r="P53" s="161">
        <f t="shared" si="10"/>
        <v>94490448</v>
      </c>
      <c r="Q53" s="16"/>
    </row>
    <row r="54" spans="1:17" ht="15.75" customHeight="1" x14ac:dyDescent="0.3">
      <c r="A54" s="13"/>
      <c r="B54" s="14" t="s">
        <v>75</v>
      </c>
      <c r="C54" s="15" t="s">
        <v>112</v>
      </c>
      <c r="D54" s="26">
        <f>375+14</f>
        <v>389</v>
      </c>
      <c r="E54" s="50" t="s">
        <v>52</v>
      </c>
      <c r="F54" s="19">
        <v>0</v>
      </c>
      <c r="G54" s="26">
        <f>19%*D54</f>
        <v>73.91</v>
      </c>
      <c r="H54" s="26">
        <f t="shared" si="11"/>
        <v>73.91</v>
      </c>
      <c r="I54" s="19">
        <v>0</v>
      </c>
      <c r="J54" s="19">
        <v>0</v>
      </c>
      <c r="K54" s="19">
        <v>0</v>
      </c>
      <c r="L54" s="19">
        <v>0</v>
      </c>
      <c r="M54" s="19">
        <f t="shared" si="12"/>
        <v>0</v>
      </c>
      <c r="N54" s="35"/>
      <c r="O54" s="36"/>
      <c r="P54" s="161">
        <f t="shared" si="10"/>
        <v>62646115.999999993</v>
      </c>
      <c r="Q54" s="16"/>
    </row>
    <row r="55" spans="1:17" ht="15.75" customHeight="1" x14ac:dyDescent="0.3">
      <c r="A55" s="13"/>
      <c r="B55" s="14" t="s">
        <v>104</v>
      </c>
      <c r="C55" s="15" t="s">
        <v>114</v>
      </c>
      <c r="D55" s="26">
        <f>73.5</f>
        <v>73.5</v>
      </c>
      <c r="E55" s="50" t="s">
        <v>52</v>
      </c>
      <c r="F55" s="19">
        <v>0</v>
      </c>
      <c r="G55" s="26">
        <f>19%*D55</f>
        <v>13.965</v>
      </c>
      <c r="H55" s="26">
        <f t="shared" si="11"/>
        <v>13.965</v>
      </c>
      <c r="I55" s="19">
        <v>0</v>
      </c>
      <c r="J55" s="19">
        <v>0</v>
      </c>
      <c r="K55" s="19">
        <v>0</v>
      </c>
      <c r="L55" s="19">
        <v>0</v>
      </c>
      <c r="M55" s="19">
        <f t="shared" si="12"/>
        <v>0</v>
      </c>
      <c r="N55" s="35"/>
      <c r="O55" s="36"/>
      <c r="P55" s="161">
        <f t="shared" si="10"/>
        <v>11836734</v>
      </c>
      <c r="Q55" s="16"/>
    </row>
    <row r="56" spans="1:17" ht="14.25" customHeight="1" x14ac:dyDescent="0.3">
      <c r="A56" s="13"/>
      <c r="B56" s="14" t="s">
        <v>106</v>
      </c>
      <c r="C56" s="15" t="s">
        <v>22</v>
      </c>
      <c r="D56" s="26">
        <f>1130+101</f>
        <v>1231</v>
      </c>
      <c r="E56" s="50" t="s">
        <v>52</v>
      </c>
      <c r="F56" s="19">
        <v>0</v>
      </c>
      <c r="G56" s="26">
        <f>19%*D56</f>
        <v>233.89000000000001</v>
      </c>
      <c r="H56" s="26">
        <f t="shared" si="11"/>
        <v>233.89000000000001</v>
      </c>
      <c r="I56" s="19">
        <v>0</v>
      </c>
      <c r="J56" s="19">
        <v>0</v>
      </c>
      <c r="K56" s="19">
        <v>0</v>
      </c>
      <c r="L56" s="19">
        <v>0</v>
      </c>
      <c r="M56" s="19">
        <f t="shared" si="12"/>
        <v>0</v>
      </c>
      <c r="N56" s="35"/>
      <c r="O56" s="36"/>
      <c r="P56" s="161">
        <f t="shared" si="10"/>
        <v>198245164.00000003</v>
      </c>
      <c r="Q56" s="16"/>
    </row>
    <row r="57" spans="1:17" ht="15" customHeight="1" x14ac:dyDescent="0.3">
      <c r="A57" s="13"/>
      <c r="B57" s="14" t="s">
        <v>108</v>
      </c>
      <c r="C57" s="15" t="s">
        <v>180</v>
      </c>
      <c r="D57" s="26">
        <f>134.8+5</f>
        <v>139.80000000000001</v>
      </c>
      <c r="E57" s="47" t="s">
        <v>52</v>
      </c>
      <c r="F57" s="19">
        <v>0</v>
      </c>
      <c r="G57" s="26">
        <f>20%*D57</f>
        <v>27.960000000000004</v>
      </c>
      <c r="H57" s="26">
        <f t="shared" si="11"/>
        <v>27.960000000000004</v>
      </c>
      <c r="I57" s="19">
        <v>0</v>
      </c>
      <c r="J57" s="19">
        <v>0</v>
      </c>
      <c r="K57" s="19">
        <v>0</v>
      </c>
      <c r="L57" s="19">
        <v>0</v>
      </c>
      <c r="M57" s="19">
        <f t="shared" si="12"/>
        <v>0</v>
      </c>
      <c r="N57" s="35"/>
      <c r="O57" s="36"/>
      <c r="P57" s="161">
        <f t="shared" si="10"/>
        <v>23698896</v>
      </c>
      <c r="Q57" s="16"/>
    </row>
    <row r="58" spans="1:17" ht="16.5" customHeight="1" x14ac:dyDescent="0.3">
      <c r="A58" s="13"/>
      <c r="B58" s="14" t="s">
        <v>109</v>
      </c>
      <c r="C58" s="15" t="s">
        <v>43</v>
      </c>
      <c r="D58" s="26">
        <f>1189+216.6</f>
        <v>1405.6</v>
      </c>
      <c r="E58" s="50" t="s">
        <v>52</v>
      </c>
      <c r="F58" s="19">
        <v>0</v>
      </c>
      <c r="G58" s="26">
        <f>20%*D58</f>
        <v>281.12</v>
      </c>
      <c r="H58" s="26">
        <f t="shared" si="11"/>
        <v>281.12</v>
      </c>
      <c r="I58" s="19">
        <v>0</v>
      </c>
      <c r="J58" s="19">
        <v>0</v>
      </c>
      <c r="K58" s="19">
        <v>0</v>
      </c>
      <c r="L58" s="19">
        <v>0</v>
      </c>
      <c r="M58" s="19">
        <f t="shared" si="12"/>
        <v>0</v>
      </c>
      <c r="N58" s="35"/>
      <c r="O58" s="36"/>
      <c r="P58" s="161">
        <f t="shared" si="10"/>
        <v>238277312</v>
      </c>
      <c r="Q58" s="16"/>
    </row>
    <row r="59" spans="1:17" ht="14.25" customHeight="1" x14ac:dyDescent="0.3">
      <c r="A59" s="13"/>
      <c r="B59" s="55" t="s">
        <v>111</v>
      </c>
      <c r="C59" s="56" t="s">
        <v>44</v>
      </c>
      <c r="D59" s="57">
        <f>1396.6+127</f>
        <v>1523.6</v>
      </c>
      <c r="E59" s="78" t="s">
        <v>52</v>
      </c>
      <c r="F59" s="19">
        <v>0</v>
      </c>
      <c r="G59" s="26">
        <f>18%*D59</f>
        <v>274.24799999999999</v>
      </c>
      <c r="H59" s="26">
        <f t="shared" si="11"/>
        <v>274.24799999999999</v>
      </c>
      <c r="I59" s="19">
        <v>0</v>
      </c>
      <c r="J59" s="19">
        <v>0</v>
      </c>
      <c r="K59" s="19">
        <v>0</v>
      </c>
      <c r="L59" s="19">
        <v>10</v>
      </c>
      <c r="M59" s="19">
        <f t="shared" si="12"/>
        <v>10</v>
      </c>
      <c r="N59" s="35"/>
      <c r="O59" s="36"/>
      <c r="P59" s="161">
        <f t="shared" si="10"/>
        <v>232452604.79999998</v>
      </c>
      <c r="Q59" s="16"/>
    </row>
    <row r="60" spans="1:17" ht="14.25" customHeight="1" x14ac:dyDescent="0.3">
      <c r="A60" s="13"/>
      <c r="B60" s="14" t="s">
        <v>74</v>
      </c>
      <c r="C60" s="15" t="s">
        <v>43</v>
      </c>
      <c r="D60" s="26">
        <v>1189</v>
      </c>
      <c r="E60" s="50" t="s">
        <v>52</v>
      </c>
      <c r="F60" s="19">
        <v>0</v>
      </c>
      <c r="G60" s="26">
        <f>19%*D60</f>
        <v>225.91</v>
      </c>
      <c r="H60" s="26">
        <f t="shared" si="11"/>
        <v>225.91</v>
      </c>
      <c r="I60" s="19">
        <v>0</v>
      </c>
      <c r="J60" s="19"/>
      <c r="K60" s="19">
        <v>6</v>
      </c>
      <c r="L60" s="19">
        <v>0</v>
      </c>
      <c r="M60" s="19">
        <f t="shared" si="12"/>
        <v>6</v>
      </c>
      <c r="N60" s="35"/>
      <c r="O60" s="36"/>
      <c r="P60" s="161">
        <f t="shared" si="10"/>
        <v>191481316</v>
      </c>
      <c r="Q60" s="16"/>
    </row>
    <row r="61" spans="1:17" ht="18.75" customHeight="1" x14ac:dyDescent="0.3">
      <c r="A61" s="54"/>
      <c r="B61" s="55" t="s">
        <v>75</v>
      </c>
      <c r="C61" s="56" t="s">
        <v>44</v>
      </c>
      <c r="D61" s="57">
        <v>1391</v>
      </c>
      <c r="E61" s="78" t="s">
        <v>52</v>
      </c>
      <c r="F61" s="19">
        <v>0</v>
      </c>
      <c r="G61" s="26">
        <f>19%*D61</f>
        <v>264.29000000000002</v>
      </c>
      <c r="H61" s="26">
        <f t="shared" si="11"/>
        <v>264.29000000000002</v>
      </c>
      <c r="I61" s="19">
        <v>0</v>
      </c>
      <c r="J61" s="19"/>
      <c r="K61" s="19">
        <v>2</v>
      </c>
      <c r="L61" s="19">
        <v>9</v>
      </c>
      <c r="M61" s="19">
        <f t="shared" si="12"/>
        <v>11</v>
      </c>
      <c r="N61" s="35"/>
      <c r="O61" s="36"/>
      <c r="P61" s="161">
        <f t="shared" si="10"/>
        <v>224012204.00000003</v>
      </c>
      <c r="Q61" s="16"/>
    </row>
    <row r="62" spans="1:17" ht="14.25" customHeight="1" x14ac:dyDescent="0.3">
      <c r="A62" s="141"/>
      <c r="B62" s="117"/>
      <c r="C62" s="116"/>
      <c r="D62" s="109"/>
      <c r="E62" s="110" t="s">
        <v>223</v>
      </c>
      <c r="F62" s="90">
        <f>9%*D61</f>
        <v>125.19</v>
      </c>
      <c r="G62" s="90"/>
      <c r="H62" s="90">
        <f>SUM(F62:G62)</f>
        <v>125.19</v>
      </c>
      <c r="I62" s="19">
        <v>0</v>
      </c>
      <c r="J62" s="19">
        <v>0</v>
      </c>
      <c r="K62" s="19">
        <v>0</v>
      </c>
      <c r="L62" s="19">
        <v>9</v>
      </c>
      <c r="M62" s="19">
        <f t="shared" si="12"/>
        <v>9</v>
      </c>
      <c r="N62" s="80"/>
      <c r="O62" s="81"/>
      <c r="P62" s="161">
        <f t="shared" si="10"/>
        <v>0</v>
      </c>
      <c r="Q62" s="87"/>
    </row>
    <row r="63" spans="1:17" ht="25.5" customHeight="1" x14ac:dyDescent="0.3">
      <c r="A63" s="89"/>
      <c r="B63" s="72" t="s">
        <v>347</v>
      </c>
      <c r="C63" s="72"/>
      <c r="D63" s="84">
        <f>SUM(D33:D61)</f>
        <v>30736.879999999997</v>
      </c>
      <c r="E63" s="74"/>
      <c r="F63" s="83">
        <f>SUM(F40:F62)</f>
        <v>125.19</v>
      </c>
      <c r="G63" s="83">
        <f>SUM(G33:G62)</f>
        <v>6186.1257999999998</v>
      </c>
      <c r="H63" s="83">
        <f>SUM(H33:H62)</f>
        <v>6324.8569999999991</v>
      </c>
      <c r="I63" s="83">
        <f>SUM(I33:I62)</f>
        <v>0</v>
      </c>
      <c r="J63" s="83">
        <f>SUM(J33:J61)</f>
        <v>0</v>
      </c>
      <c r="K63" s="83">
        <f>SUM(K33:K61)</f>
        <v>25</v>
      </c>
      <c r="L63" s="83">
        <f>SUM(L33:L62)</f>
        <v>46</v>
      </c>
      <c r="M63" s="83">
        <f>SUM(M33:M61)</f>
        <v>62</v>
      </c>
      <c r="N63" s="76"/>
      <c r="O63" s="77"/>
      <c r="P63" s="162">
        <f>SUM(P33:P62)</f>
        <v>5243360228.0799999</v>
      </c>
      <c r="Q63" s="75"/>
    </row>
    <row r="64" spans="1:17" ht="18.75" customHeight="1" x14ac:dyDescent="0.3">
      <c r="A64" s="63">
        <v>4</v>
      </c>
      <c r="B64" s="64" t="s">
        <v>46</v>
      </c>
      <c r="C64" s="65"/>
      <c r="D64" s="66"/>
      <c r="E64" s="67"/>
      <c r="F64" s="82"/>
      <c r="G64" s="82"/>
      <c r="H64" s="82"/>
      <c r="I64" s="82"/>
      <c r="J64" s="82"/>
      <c r="K64" s="82"/>
      <c r="L64" s="82"/>
      <c r="M64" s="82"/>
      <c r="N64" s="69"/>
      <c r="O64" s="70"/>
      <c r="P64" s="70"/>
      <c r="Q64" s="68"/>
    </row>
    <row r="65" spans="1:17" ht="25.5" customHeight="1" x14ac:dyDescent="0.3">
      <c r="A65" s="102"/>
      <c r="B65" s="98" t="s">
        <v>57</v>
      </c>
      <c r="C65" s="99" t="s">
        <v>29</v>
      </c>
      <c r="D65" s="96">
        <v>175</v>
      </c>
      <c r="E65" s="101" t="s">
        <v>233</v>
      </c>
      <c r="F65" s="96"/>
      <c r="G65" s="96">
        <f>18%*D65</f>
        <v>31.5</v>
      </c>
      <c r="H65" s="96">
        <f>SUM(F65:G65)</f>
        <v>31.5</v>
      </c>
      <c r="I65" s="97">
        <v>0</v>
      </c>
      <c r="J65" s="97"/>
      <c r="K65" s="97">
        <v>0</v>
      </c>
      <c r="L65" s="97">
        <v>2</v>
      </c>
      <c r="M65" s="97">
        <f t="shared" ref="M65:M72" si="13">SUM(I65:L65)</f>
        <v>2</v>
      </c>
      <c r="N65" s="35" t="s">
        <v>51</v>
      </c>
      <c r="O65" s="36" t="s">
        <v>229</v>
      </c>
      <c r="P65" s="161">
        <f>G65*1.036*20%*6000000</f>
        <v>39160800</v>
      </c>
      <c r="Q65" s="16"/>
    </row>
    <row r="66" spans="1:17" ht="21.75" customHeight="1" x14ac:dyDescent="0.3">
      <c r="A66" s="13"/>
      <c r="B66" s="14" t="s">
        <v>58</v>
      </c>
      <c r="C66" s="15" t="s">
        <v>33</v>
      </c>
      <c r="D66" s="26">
        <v>368</v>
      </c>
      <c r="E66" s="47" t="s">
        <v>185</v>
      </c>
      <c r="F66" s="26">
        <f>0%*D66</f>
        <v>0</v>
      </c>
      <c r="G66" s="26">
        <f>18%*D66</f>
        <v>66.239999999999995</v>
      </c>
      <c r="H66" s="26">
        <f t="shared" ref="H66:H72" si="14">SUM(F66:G66)</f>
        <v>66.239999999999995</v>
      </c>
      <c r="I66" s="19">
        <v>0</v>
      </c>
      <c r="J66" s="19"/>
      <c r="K66" s="19">
        <v>0</v>
      </c>
      <c r="L66" s="19">
        <v>3</v>
      </c>
      <c r="M66" s="19">
        <f t="shared" si="13"/>
        <v>3</v>
      </c>
      <c r="N66" s="35" t="s">
        <v>51</v>
      </c>
      <c r="O66" s="36" t="s">
        <v>138</v>
      </c>
      <c r="P66" s="161">
        <f>G66*1.036*50%*6000000</f>
        <v>205873920</v>
      </c>
      <c r="Q66" s="16"/>
    </row>
    <row r="67" spans="1:17" ht="22.5" customHeight="1" x14ac:dyDescent="0.3">
      <c r="A67" s="13"/>
      <c r="B67" s="98" t="s">
        <v>59</v>
      </c>
      <c r="C67" s="99" t="s">
        <v>42</v>
      </c>
      <c r="D67" s="96">
        <v>774.98</v>
      </c>
      <c r="E67" s="101" t="s">
        <v>233</v>
      </c>
      <c r="F67" s="96">
        <f>0%*D67</f>
        <v>0</v>
      </c>
      <c r="G67" s="97">
        <f>13%*D67</f>
        <v>100.7474</v>
      </c>
      <c r="H67" s="96">
        <f t="shared" si="14"/>
        <v>100.7474</v>
      </c>
      <c r="I67" s="97">
        <v>0</v>
      </c>
      <c r="J67" s="97"/>
      <c r="K67" s="97">
        <v>0</v>
      </c>
      <c r="L67" s="97">
        <v>0</v>
      </c>
      <c r="M67" s="97">
        <f t="shared" si="13"/>
        <v>0</v>
      </c>
      <c r="N67" s="35"/>
      <c r="O67" s="36"/>
      <c r="P67" s="161">
        <f t="shared" ref="P67:P72" si="15">G67*1.036*20%*6000000</f>
        <v>125249167.68000002</v>
      </c>
      <c r="Q67" s="16"/>
    </row>
    <row r="68" spans="1:17" ht="25.5" customHeight="1" x14ac:dyDescent="0.3">
      <c r="A68" s="13"/>
      <c r="B68" s="98" t="s">
        <v>60</v>
      </c>
      <c r="C68" s="99" t="s">
        <v>21</v>
      </c>
      <c r="D68" s="96">
        <v>942.55</v>
      </c>
      <c r="E68" s="101" t="s">
        <v>186</v>
      </c>
      <c r="F68" s="96">
        <f>1%*D68</f>
        <v>9.4254999999999995</v>
      </c>
      <c r="G68" s="97">
        <f>7%*D68</f>
        <v>65.978499999999997</v>
      </c>
      <c r="H68" s="96">
        <f t="shared" si="14"/>
        <v>75.403999999999996</v>
      </c>
      <c r="I68" s="97">
        <v>0</v>
      </c>
      <c r="J68" s="97"/>
      <c r="K68" s="97">
        <v>2</v>
      </c>
      <c r="L68" s="97">
        <v>0</v>
      </c>
      <c r="M68" s="97">
        <f t="shared" si="13"/>
        <v>2</v>
      </c>
      <c r="N68" s="35"/>
      <c r="O68" s="36"/>
      <c r="P68" s="161">
        <f t="shared" si="15"/>
        <v>82024471.199999988</v>
      </c>
      <c r="Q68" s="16"/>
    </row>
    <row r="69" spans="1:17" ht="22.5" customHeight="1" x14ac:dyDescent="0.3">
      <c r="A69" s="13"/>
      <c r="B69" s="98"/>
      <c r="C69" s="99"/>
      <c r="D69" s="96"/>
      <c r="E69" s="101" t="s">
        <v>233</v>
      </c>
      <c r="F69" s="96"/>
      <c r="G69" s="96">
        <f>7%*D68</f>
        <v>65.978499999999997</v>
      </c>
      <c r="H69" s="96">
        <f>SUM(F69:G69)</f>
        <v>65.978499999999997</v>
      </c>
      <c r="I69" s="19">
        <v>0</v>
      </c>
      <c r="J69" s="19">
        <v>0</v>
      </c>
      <c r="K69" s="19">
        <v>0</v>
      </c>
      <c r="L69" s="19">
        <v>0</v>
      </c>
      <c r="M69" s="19">
        <f t="shared" si="13"/>
        <v>0</v>
      </c>
      <c r="N69" s="35"/>
      <c r="O69" s="36"/>
      <c r="P69" s="161">
        <f t="shared" si="15"/>
        <v>82024471.199999988</v>
      </c>
      <c r="Q69" s="16"/>
    </row>
    <row r="70" spans="1:17" ht="24" customHeight="1" x14ac:dyDescent="0.3">
      <c r="A70" s="16"/>
      <c r="B70" s="14" t="s">
        <v>61</v>
      </c>
      <c r="C70" s="15" t="s">
        <v>22</v>
      </c>
      <c r="D70" s="26">
        <v>1233.55</v>
      </c>
      <c r="E70" s="101" t="s">
        <v>233</v>
      </c>
      <c r="F70" s="26">
        <f>0%*D70</f>
        <v>0</v>
      </c>
      <c r="G70" s="19">
        <f>7%*D70</f>
        <v>86.348500000000001</v>
      </c>
      <c r="H70" s="26">
        <f t="shared" si="14"/>
        <v>86.348500000000001</v>
      </c>
      <c r="I70" s="19">
        <v>0</v>
      </c>
      <c r="J70" s="19"/>
      <c r="K70" s="19">
        <v>2</v>
      </c>
      <c r="L70" s="19">
        <v>0</v>
      </c>
      <c r="M70" s="19">
        <f t="shared" si="13"/>
        <v>2</v>
      </c>
      <c r="N70" s="35"/>
      <c r="O70" s="36"/>
      <c r="P70" s="161">
        <f t="shared" si="15"/>
        <v>107348455.20000002</v>
      </c>
      <c r="Q70" s="16"/>
    </row>
    <row r="71" spans="1:17" ht="21" customHeight="1" x14ac:dyDescent="0.3">
      <c r="A71" s="87"/>
      <c r="B71" s="55" t="s">
        <v>62</v>
      </c>
      <c r="C71" s="56" t="s">
        <v>43</v>
      </c>
      <c r="D71" s="57">
        <v>133</v>
      </c>
      <c r="E71" s="101" t="s">
        <v>233</v>
      </c>
      <c r="F71" s="26">
        <f>0%*D71</f>
        <v>0</v>
      </c>
      <c r="G71" s="19">
        <f>5%*D71</f>
        <v>6.65</v>
      </c>
      <c r="H71" s="26">
        <f t="shared" si="14"/>
        <v>6.65</v>
      </c>
      <c r="I71" s="19">
        <v>0</v>
      </c>
      <c r="J71" s="19"/>
      <c r="K71" s="19">
        <v>0</v>
      </c>
      <c r="L71" s="19">
        <v>0</v>
      </c>
      <c r="M71" s="19">
        <f t="shared" si="13"/>
        <v>0</v>
      </c>
      <c r="N71" s="35"/>
      <c r="O71" s="36"/>
      <c r="P71" s="161">
        <f t="shared" si="15"/>
        <v>8267280.0000000009</v>
      </c>
      <c r="Q71" s="16"/>
    </row>
    <row r="72" spans="1:17" ht="27.75" customHeight="1" x14ac:dyDescent="0.3">
      <c r="A72" s="16"/>
      <c r="B72" s="14" t="s">
        <v>63</v>
      </c>
      <c r="C72" s="15" t="s">
        <v>32</v>
      </c>
      <c r="D72" s="26">
        <v>298.5</v>
      </c>
      <c r="E72" s="101" t="s">
        <v>236</v>
      </c>
      <c r="F72" s="26">
        <f>0%*D72</f>
        <v>0</v>
      </c>
      <c r="G72" s="19">
        <f>5%*D72</f>
        <v>14.925000000000001</v>
      </c>
      <c r="H72" s="26">
        <f t="shared" si="14"/>
        <v>14.925000000000001</v>
      </c>
      <c r="I72" s="135">
        <v>0</v>
      </c>
      <c r="J72" s="135"/>
      <c r="K72" s="135">
        <v>0</v>
      </c>
      <c r="L72" s="135">
        <v>0</v>
      </c>
      <c r="M72" s="135">
        <f t="shared" si="13"/>
        <v>0</v>
      </c>
      <c r="N72" s="80"/>
      <c r="O72" s="81"/>
      <c r="P72" s="161">
        <f t="shared" si="15"/>
        <v>18554760.000000004</v>
      </c>
      <c r="Q72" s="87"/>
    </row>
    <row r="73" spans="1:17" ht="18.75" customHeight="1" x14ac:dyDescent="0.3">
      <c r="A73" s="75"/>
      <c r="B73" s="72" t="s">
        <v>348</v>
      </c>
      <c r="C73" s="72"/>
      <c r="D73" s="73">
        <f>SUM(D65:D72)</f>
        <v>3925.58</v>
      </c>
      <c r="E73" s="74"/>
      <c r="F73" s="73">
        <f t="shared" ref="F73:K73" si="16">SUM(F65:F72)</f>
        <v>9.4254999999999995</v>
      </c>
      <c r="G73" s="83">
        <f t="shared" si="16"/>
        <v>438.36789999999996</v>
      </c>
      <c r="H73" s="73">
        <f t="shared" si="16"/>
        <v>447.79339999999996</v>
      </c>
      <c r="I73" s="83">
        <f t="shared" si="16"/>
        <v>0</v>
      </c>
      <c r="J73" s="83">
        <f t="shared" si="16"/>
        <v>0</v>
      </c>
      <c r="K73" s="83">
        <f t="shared" si="16"/>
        <v>4</v>
      </c>
      <c r="L73" s="83">
        <f>SUM(L65:L72)</f>
        <v>5</v>
      </c>
      <c r="M73" s="83">
        <f>SUM(M65:M72)</f>
        <v>9</v>
      </c>
      <c r="N73" s="76"/>
      <c r="O73" s="77"/>
      <c r="P73" s="162">
        <f>SUM(P65:P72)</f>
        <v>668503325.27999997</v>
      </c>
      <c r="Q73" s="75"/>
    </row>
    <row r="74" spans="1:17" ht="16.5" customHeight="1" x14ac:dyDescent="0.3">
      <c r="A74" s="63">
        <v>5</v>
      </c>
      <c r="B74" s="64" t="s">
        <v>96</v>
      </c>
      <c r="C74" s="65"/>
      <c r="D74" s="66"/>
      <c r="E74" s="67"/>
      <c r="F74" s="66"/>
      <c r="G74" s="66"/>
      <c r="H74" s="66"/>
      <c r="I74" s="82"/>
      <c r="J74" s="82"/>
      <c r="K74" s="82"/>
      <c r="L74" s="82"/>
      <c r="M74" s="82"/>
      <c r="N74" s="69"/>
      <c r="O74" s="70"/>
      <c r="P74" s="70"/>
      <c r="Q74" s="68"/>
    </row>
    <row r="75" spans="1:17" ht="16.5" customHeight="1" x14ac:dyDescent="0.3">
      <c r="A75" s="16"/>
      <c r="B75" s="14" t="s">
        <v>57</v>
      </c>
      <c r="C75" s="15" t="s">
        <v>22</v>
      </c>
      <c r="D75" s="26">
        <v>9.5</v>
      </c>
      <c r="E75" s="47" t="s">
        <v>163</v>
      </c>
      <c r="F75" s="26">
        <f>9%*D75</f>
        <v>0.85499999999999998</v>
      </c>
      <c r="G75" s="26">
        <v>0</v>
      </c>
      <c r="H75" s="26">
        <f t="shared" ref="H75:H83" si="17">SUM(F75:G75)</f>
        <v>0.85499999999999998</v>
      </c>
      <c r="I75" s="19">
        <v>0</v>
      </c>
      <c r="J75" s="19"/>
      <c r="K75" s="19">
        <v>0</v>
      </c>
      <c r="L75" s="19">
        <v>0</v>
      </c>
      <c r="M75" s="19">
        <f>SUM(I75:L75)</f>
        <v>0</v>
      </c>
      <c r="N75" s="35"/>
      <c r="O75" s="36"/>
      <c r="P75" s="36"/>
      <c r="Q75" s="16"/>
    </row>
    <row r="76" spans="1:17" ht="17.25" customHeight="1" x14ac:dyDescent="0.3">
      <c r="A76" s="16"/>
      <c r="B76" s="14" t="s">
        <v>58</v>
      </c>
      <c r="C76" s="15" t="s">
        <v>21</v>
      </c>
      <c r="D76" s="26">
        <v>18.11</v>
      </c>
      <c r="E76" s="47" t="s">
        <v>164</v>
      </c>
      <c r="F76" s="26">
        <f>9%*D76</f>
        <v>1.6298999999999999</v>
      </c>
      <c r="G76" s="26">
        <f>2%*D76</f>
        <v>0.36220000000000002</v>
      </c>
      <c r="H76" s="26">
        <f t="shared" si="17"/>
        <v>1.9921</v>
      </c>
      <c r="I76" s="19">
        <v>0</v>
      </c>
      <c r="J76" s="19"/>
      <c r="K76" s="19"/>
      <c r="L76" s="19">
        <v>0</v>
      </c>
      <c r="M76" s="19">
        <f t="shared" ref="M76:M83" si="18">SUM(I76:L76)</f>
        <v>0</v>
      </c>
      <c r="N76" s="35"/>
      <c r="O76" s="36" t="s">
        <v>50</v>
      </c>
      <c r="P76" s="36"/>
      <c r="Q76" s="16"/>
    </row>
    <row r="77" spans="1:17" ht="16.5" customHeight="1" x14ac:dyDescent="0.3">
      <c r="A77" s="16"/>
      <c r="B77" s="14"/>
      <c r="C77" s="15"/>
      <c r="D77" s="26"/>
      <c r="E77" s="49" t="s">
        <v>187</v>
      </c>
      <c r="F77" s="96">
        <f>12%*D76</f>
        <v>2.1732</v>
      </c>
      <c r="G77" s="96">
        <v>0</v>
      </c>
      <c r="H77" s="96">
        <f t="shared" si="17"/>
        <v>2.1732</v>
      </c>
      <c r="I77" s="97">
        <v>0</v>
      </c>
      <c r="J77" s="97">
        <v>0</v>
      </c>
      <c r="K77" s="97">
        <v>0</v>
      </c>
      <c r="L77" s="97">
        <v>0</v>
      </c>
      <c r="M77" s="97">
        <f t="shared" si="18"/>
        <v>0</v>
      </c>
      <c r="N77" s="35"/>
      <c r="O77" s="36"/>
      <c r="P77" s="36"/>
      <c r="Q77" s="16"/>
    </row>
    <row r="78" spans="1:17" ht="16.5" customHeight="1" x14ac:dyDescent="0.3">
      <c r="A78" s="16"/>
      <c r="B78" s="14" t="s">
        <v>59</v>
      </c>
      <c r="C78" s="15" t="s">
        <v>43</v>
      </c>
      <c r="D78" s="26">
        <v>19.79</v>
      </c>
      <c r="E78" s="47" t="s">
        <v>164</v>
      </c>
      <c r="F78" s="26">
        <f>9%*D78</f>
        <v>1.7810999999999999</v>
      </c>
      <c r="G78" s="26">
        <v>0</v>
      </c>
      <c r="H78" s="26">
        <f t="shared" si="17"/>
        <v>1.7810999999999999</v>
      </c>
      <c r="I78" s="19">
        <v>0</v>
      </c>
      <c r="J78" s="19"/>
      <c r="K78" s="19">
        <v>1</v>
      </c>
      <c r="L78" s="19">
        <v>0</v>
      </c>
      <c r="M78" s="19">
        <f t="shared" si="18"/>
        <v>1</v>
      </c>
      <c r="N78" s="35"/>
      <c r="O78" s="36" t="s">
        <v>137</v>
      </c>
      <c r="P78" s="36"/>
      <c r="Q78" s="16"/>
    </row>
    <row r="79" spans="1:17" ht="17.25" customHeight="1" x14ac:dyDescent="0.3">
      <c r="A79" s="16"/>
      <c r="B79" s="14" t="s">
        <v>60</v>
      </c>
      <c r="C79" s="15" t="s">
        <v>44</v>
      </c>
      <c r="D79" s="26">
        <v>30.5</v>
      </c>
      <c r="E79" s="47" t="s">
        <v>164</v>
      </c>
      <c r="F79" s="26">
        <f>9%*D79</f>
        <v>2.7450000000000001</v>
      </c>
      <c r="G79" s="26">
        <v>0</v>
      </c>
      <c r="H79" s="26">
        <f t="shared" si="17"/>
        <v>2.7450000000000001</v>
      </c>
      <c r="I79" s="19">
        <v>0</v>
      </c>
      <c r="J79" s="19">
        <v>0</v>
      </c>
      <c r="K79" s="19">
        <v>0</v>
      </c>
      <c r="L79" s="19">
        <v>0</v>
      </c>
      <c r="M79" s="19">
        <f t="shared" si="18"/>
        <v>0</v>
      </c>
      <c r="N79" s="35"/>
      <c r="O79" s="36" t="s">
        <v>145</v>
      </c>
      <c r="P79" s="36"/>
      <c r="Q79" s="16"/>
    </row>
    <row r="80" spans="1:17" ht="15.75" customHeight="1" x14ac:dyDescent="0.3">
      <c r="A80" s="16"/>
      <c r="B80" s="14" t="s">
        <v>61</v>
      </c>
      <c r="C80" s="15" t="s">
        <v>33</v>
      </c>
      <c r="D80" s="26">
        <v>8.3000000000000007</v>
      </c>
      <c r="E80" s="47" t="s">
        <v>164</v>
      </c>
      <c r="F80" s="26">
        <f>9%*D80</f>
        <v>0.747</v>
      </c>
      <c r="G80" s="26">
        <v>0</v>
      </c>
      <c r="H80" s="26">
        <f t="shared" si="17"/>
        <v>0.747</v>
      </c>
      <c r="I80" s="19">
        <v>0</v>
      </c>
      <c r="J80" s="19">
        <v>0</v>
      </c>
      <c r="K80" s="19">
        <v>0</v>
      </c>
      <c r="L80" s="19">
        <v>0</v>
      </c>
      <c r="M80" s="19">
        <f t="shared" si="18"/>
        <v>0</v>
      </c>
      <c r="N80" s="35"/>
      <c r="O80" s="36" t="s">
        <v>146</v>
      </c>
      <c r="P80" s="36"/>
      <c r="Q80" s="16"/>
    </row>
    <row r="81" spans="1:17" ht="17.25" customHeight="1" x14ac:dyDescent="0.3">
      <c r="A81" s="16"/>
      <c r="B81" s="14" t="s">
        <v>62</v>
      </c>
      <c r="C81" s="15" t="s">
        <v>32</v>
      </c>
      <c r="D81" s="26">
        <v>1.25</v>
      </c>
      <c r="E81" s="47" t="s">
        <v>164</v>
      </c>
      <c r="F81" s="26">
        <f>1%*D81</f>
        <v>1.2500000000000001E-2</v>
      </c>
      <c r="G81" s="26">
        <v>0</v>
      </c>
      <c r="H81" s="26">
        <f t="shared" si="17"/>
        <v>1.2500000000000001E-2</v>
      </c>
      <c r="I81" s="19">
        <v>0</v>
      </c>
      <c r="J81" s="19">
        <v>0</v>
      </c>
      <c r="K81" s="19">
        <v>0</v>
      </c>
      <c r="L81" s="19">
        <v>0</v>
      </c>
      <c r="M81" s="19">
        <f t="shared" si="18"/>
        <v>0</v>
      </c>
      <c r="N81" s="35"/>
      <c r="O81" s="36"/>
      <c r="P81" s="36"/>
      <c r="Q81" s="16"/>
    </row>
    <row r="82" spans="1:17" ht="16.5" customHeight="1" x14ac:dyDescent="0.3">
      <c r="A82" s="16"/>
      <c r="B82" s="14">
        <v>9</v>
      </c>
      <c r="C82" s="15" t="s">
        <v>30</v>
      </c>
      <c r="D82" s="26">
        <v>9.5</v>
      </c>
      <c r="E82" s="47" t="s">
        <v>164</v>
      </c>
      <c r="F82" s="26">
        <f>11%*D82</f>
        <v>1.0449999999999999</v>
      </c>
      <c r="G82" s="26">
        <v>0</v>
      </c>
      <c r="H82" s="26">
        <f t="shared" si="17"/>
        <v>1.0449999999999999</v>
      </c>
      <c r="I82" s="19">
        <v>0</v>
      </c>
      <c r="J82" s="19">
        <v>0</v>
      </c>
      <c r="K82" s="19">
        <v>0</v>
      </c>
      <c r="L82" s="19">
        <v>0</v>
      </c>
      <c r="M82" s="19">
        <f t="shared" si="18"/>
        <v>0</v>
      </c>
      <c r="N82" s="35"/>
      <c r="O82" s="36"/>
      <c r="P82" s="36"/>
      <c r="Q82" s="16"/>
    </row>
    <row r="83" spans="1:17" ht="17.25" customHeight="1" x14ac:dyDescent="0.3">
      <c r="A83" s="87"/>
      <c r="B83" s="55" t="s">
        <v>64</v>
      </c>
      <c r="C83" s="56" t="s">
        <v>31</v>
      </c>
      <c r="D83" s="57">
        <v>6</v>
      </c>
      <c r="E83" s="85" t="s">
        <v>164</v>
      </c>
      <c r="F83" s="26">
        <f>14%*D83</f>
        <v>0.84000000000000008</v>
      </c>
      <c r="G83" s="26">
        <v>0</v>
      </c>
      <c r="H83" s="26">
        <f t="shared" si="17"/>
        <v>0.84000000000000008</v>
      </c>
      <c r="I83" s="79">
        <v>0</v>
      </c>
      <c r="J83" s="79">
        <v>0</v>
      </c>
      <c r="K83" s="79">
        <v>0</v>
      </c>
      <c r="L83" s="79">
        <v>0</v>
      </c>
      <c r="M83" s="79">
        <f t="shared" si="18"/>
        <v>0</v>
      </c>
      <c r="N83" s="80"/>
      <c r="O83" s="81"/>
      <c r="P83" s="81"/>
      <c r="Q83" s="87"/>
    </row>
    <row r="84" spans="1:17" ht="18.75" customHeight="1" x14ac:dyDescent="0.3">
      <c r="A84" s="75"/>
      <c r="B84" s="72" t="s">
        <v>349</v>
      </c>
      <c r="C84" s="72"/>
      <c r="D84" s="73">
        <f>SUM(D75:D83)</f>
        <v>102.95</v>
      </c>
      <c r="E84" s="74"/>
      <c r="F84" s="73">
        <f t="shared" ref="F84:K84" si="19">SUM(F75:F83)</f>
        <v>11.8287</v>
      </c>
      <c r="G84" s="73">
        <f t="shared" si="19"/>
        <v>0.36220000000000002</v>
      </c>
      <c r="H84" s="73">
        <f t="shared" si="19"/>
        <v>12.190900000000001</v>
      </c>
      <c r="I84" s="83">
        <f t="shared" si="19"/>
        <v>0</v>
      </c>
      <c r="J84" s="83">
        <f t="shared" si="19"/>
        <v>0</v>
      </c>
      <c r="K84" s="83">
        <f t="shared" si="19"/>
        <v>1</v>
      </c>
      <c r="L84" s="83">
        <f>SUM(L74:L83)</f>
        <v>0</v>
      </c>
      <c r="M84" s="83">
        <f>SUM(M75:M83)</f>
        <v>1</v>
      </c>
      <c r="N84" s="76"/>
      <c r="O84" s="77"/>
      <c r="P84" s="77"/>
      <c r="Q84" s="75"/>
    </row>
    <row r="85" spans="1:17" ht="17.25" customHeight="1" x14ac:dyDescent="0.3">
      <c r="A85" s="103">
        <v>6</v>
      </c>
      <c r="B85" s="104" t="s">
        <v>116</v>
      </c>
      <c r="C85" s="104"/>
      <c r="D85" s="105"/>
      <c r="E85" s="106"/>
      <c r="F85" s="105"/>
      <c r="G85" s="107"/>
      <c r="H85" s="105"/>
      <c r="I85" s="107"/>
      <c r="J85" s="107"/>
      <c r="K85" s="107"/>
      <c r="L85" s="107"/>
      <c r="M85" s="107"/>
      <c r="N85" s="69"/>
      <c r="O85" s="70"/>
      <c r="P85" s="70"/>
      <c r="Q85" s="68"/>
    </row>
    <row r="86" spans="1:17" ht="20.25" customHeight="1" x14ac:dyDescent="0.3">
      <c r="A86" s="27"/>
      <c r="B86" s="152" t="s">
        <v>57</v>
      </c>
      <c r="C86" s="153" t="s">
        <v>30</v>
      </c>
      <c r="D86" s="154">
        <v>57.9</v>
      </c>
      <c r="E86" s="101" t="s">
        <v>188</v>
      </c>
      <c r="F86" s="154">
        <f>3%*D86</f>
        <v>1.7369999999999999</v>
      </c>
      <c r="G86" s="155">
        <v>0</v>
      </c>
      <c r="H86" s="154">
        <f t="shared" ref="H86:H90" si="20">SUM(F86:G86)</f>
        <v>1.7369999999999999</v>
      </c>
      <c r="I86" s="155">
        <v>0</v>
      </c>
      <c r="J86" s="155"/>
      <c r="K86" s="155"/>
      <c r="L86" s="155">
        <v>0</v>
      </c>
      <c r="M86" s="155">
        <f>SUM(I86:L86)</f>
        <v>0</v>
      </c>
      <c r="N86" s="156" t="s">
        <v>86</v>
      </c>
      <c r="O86" s="40" t="s">
        <v>271</v>
      </c>
      <c r="P86" s="176">
        <f>G86*0.347*30*16000000</f>
        <v>0</v>
      </c>
      <c r="Q86" s="27"/>
    </row>
    <row r="87" spans="1:17" ht="22.5" customHeight="1" x14ac:dyDescent="0.3">
      <c r="A87" s="16"/>
      <c r="B87" s="14" t="s">
        <v>58</v>
      </c>
      <c r="C87" s="15" t="s">
        <v>44</v>
      </c>
      <c r="D87" s="26">
        <v>84.65</v>
      </c>
      <c r="E87" s="47" t="s">
        <v>182</v>
      </c>
      <c r="F87" s="26">
        <f>4%*D87</f>
        <v>3.3860000000000001</v>
      </c>
      <c r="G87" s="19">
        <v>0</v>
      </c>
      <c r="H87" s="26">
        <f t="shared" si="20"/>
        <v>3.3860000000000001</v>
      </c>
      <c r="I87" s="19">
        <v>0</v>
      </c>
      <c r="J87" s="19"/>
      <c r="K87" s="19">
        <v>2</v>
      </c>
      <c r="L87" s="19">
        <v>0</v>
      </c>
      <c r="M87" s="19">
        <f t="shared" ref="M87:M90" si="21">SUM(I87:L87)</f>
        <v>2</v>
      </c>
      <c r="N87" s="35"/>
      <c r="O87" s="36" t="s">
        <v>272</v>
      </c>
      <c r="P87" s="176">
        <f>G87*0.347*30*16000000</f>
        <v>0</v>
      </c>
      <c r="Q87" s="16"/>
    </row>
    <row r="88" spans="1:17" ht="29.25" customHeight="1" x14ac:dyDescent="0.3">
      <c r="A88" s="16"/>
      <c r="B88" s="14"/>
      <c r="C88" s="15"/>
      <c r="D88" s="26"/>
      <c r="E88" s="101" t="s">
        <v>181</v>
      </c>
      <c r="F88" s="96">
        <f>9%*D87</f>
        <v>7.6185</v>
      </c>
      <c r="G88" s="97">
        <v>0</v>
      </c>
      <c r="H88" s="96">
        <f t="shared" si="20"/>
        <v>7.6185</v>
      </c>
      <c r="I88" s="97">
        <v>0</v>
      </c>
      <c r="J88" s="97"/>
      <c r="K88" s="97">
        <v>0</v>
      </c>
      <c r="L88" s="97">
        <v>0</v>
      </c>
      <c r="M88" s="97">
        <f>SUM(I88:L88)</f>
        <v>0</v>
      </c>
      <c r="N88" s="35"/>
      <c r="O88" s="159" t="s">
        <v>273</v>
      </c>
      <c r="P88" s="176">
        <f>G88*0.347*30*16000000</f>
        <v>0</v>
      </c>
      <c r="Q88" s="16"/>
    </row>
    <row r="89" spans="1:17" ht="27.75" customHeight="1" x14ac:dyDescent="0.3">
      <c r="A89" s="16"/>
      <c r="B89" s="14" t="s">
        <v>59</v>
      </c>
      <c r="C89" s="15" t="s">
        <v>33</v>
      </c>
      <c r="D89" s="26">
        <v>14.2</v>
      </c>
      <c r="E89" s="101" t="s">
        <v>181</v>
      </c>
      <c r="F89" s="26">
        <f>10%*D89</f>
        <v>1.42</v>
      </c>
      <c r="G89" s="19">
        <v>0</v>
      </c>
      <c r="H89" s="26">
        <f t="shared" si="20"/>
        <v>1.42</v>
      </c>
      <c r="I89" s="19">
        <v>0</v>
      </c>
      <c r="J89" s="19"/>
      <c r="K89" s="19"/>
      <c r="L89" s="19"/>
      <c r="M89" s="19">
        <f t="shared" si="21"/>
        <v>0</v>
      </c>
      <c r="N89" s="35" t="s">
        <v>88</v>
      </c>
      <c r="O89" s="36" t="s">
        <v>274</v>
      </c>
      <c r="P89" s="176">
        <f>G89*0.347*30*16000000</f>
        <v>0</v>
      </c>
      <c r="Q89" s="16"/>
    </row>
    <row r="90" spans="1:17" ht="48" customHeight="1" x14ac:dyDescent="0.3">
      <c r="A90" s="108"/>
      <c r="B90" s="128" t="s">
        <v>61</v>
      </c>
      <c r="C90" s="126" t="s">
        <v>35</v>
      </c>
      <c r="D90" s="127">
        <v>36.72</v>
      </c>
      <c r="E90" s="142" t="s">
        <v>183</v>
      </c>
      <c r="F90" s="127">
        <f>7%*D90</f>
        <v>2.5704000000000002</v>
      </c>
      <c r="G90" s="143">
        <v>0</v>
      </c>
      <c r="H90" s="127">
        <f t="shared" si="20"/>
        <v>2.5704000000000002</v>
      </c>
      <c r="I90" s="143">
        <v>0</v>
      </c>
      <c r="J90" s="143">
        <v>0</v>
      </c>
      <c r="K90" s="143">
        <v>0</v>
      </c>
      <c r="L90" s="143">
        <v>0</v>
      </c>
      <c r="M90" s="143">
        <f t="shared" si="21"/>
        <v>0</v>
      </c>
      <c r="N90" s="157" t="s">
        <v>254</v>
      </c>
      <c r="O90" s="158" t="s">
        <v>137</v>
      </c>
      <c r="P90" s="176">
        <f>G90*0.347*30*16000000</f>
        <v>0</v>
      </c>
      <c r="Q90" s="87"/>
    </row>
    <row r="91" spans="1:17" ht="14.25" customHeight="1" x14ac:dyDescent="0.3">
      <c r="A91" s="75"/>
      <c r="B91" s="136" t="s">
        <v>351</v>
      </c>
      <c r="C91" s="137"/>
      <c r="D91" s="138">
        <f>SUM(D86:D90)</f>
        <v>193.47</v>
      </c>
      <c r="E91" s="139"/>
      <c r="F91" s="138">
        <f t="shared" ref="F91:M91" si="22">SUM(F86:F90)</f>
        <v>16.7319</v>
      </c>
      <c r="G91" s="140">
        <f t="shared" si="22"/>
        <v>0</v>
      </c>
      <c r="H91" s="138">
        <f t="shared" si="22"/>
        <v>16.7319</v>
      </c>
      <c r="I91" s="140">
        <f t="shared" si="22"/>
        <v>0</v>
      </c>
      <c r="J91" s="140">
        <f t="shared" si="22"/>
        <v>0</v>
      </c>
      <c r="K91" s="140">
        <f t="shared" si="22"/>
        <v>2</v>
      </c>
      <c r="L91" s="140">
        <f t="shared" si="22"/>
        <v>0</v>
      </c>
      <c r="M91" s="140">
        <f t="shared" si="22"/>
        <v>2</v>
      </c>
      <c r="N91" s="76"/>
      <c r="O91" s="77"/>
      <c r="P91" s="162">
        <f>SUM(P86:P90)</f>
        <v>0</v>
      </c>
      <c r="Q91" s="75"/>
    </row>
    <row r="92" spans="1:17" ht="13.5" customHeight="1" x14ac:dyDescent="0.3">
      <c r="A92" s="63">
        <v>7</v>
      </c>
      <c r="B92" s="8" t="s">
        <v>117</v>
      </c>
      <c r="C92" s="10"/>
      <c r="D92" s="90"/>
      <c r="E92" s="67"/>
      <c r="F92" s="66"/>
      <c r="G92" s="82"/>
      <c r="H92" s="66"/>
      <c r="I92" s="82"/>
      <c r="J92" s="82"/>
      <c r="K92" s="82"/>
      <c r="L92" s="82"/>
      <c r="M92" s="82"/>
      <c r="N92" s="69"/>
      <c r="O92" s="70"/>
      <c r="P92" s="70"/>
      <c r="Q92" s="68"/>
    </row>
    <row r="93" spans="1:17" ht="24.75" customHeight="1" x14ac:dyDescent="0.3">
      <c r="A93" s="16"/>
      <c r="B93" s="14" t="s">
        <v>57</v>
      </c>
      <c r="C93" s="15" t="s">
        <v>22</v>
      </c>
      <c r="D93" s="26">
        <v>296.95</v>
      </c>
      <c r="E93" s="101" t="s">
        <v>203</v>
      </c>
      <c r="F93" s="96">
        <f>5%*D93</f>
        <v>14.8475</v>
      </c>
      <c r="G93" s="97">
        <v>0</v>
      </c>
      <c r="H93" s="96">
        <f t="shared" ref="H93:H101" si="23">SUM(F93:G93)</f>
        <v>14.8475</v>
      </c>
      <c r="I93" s="97">
        <v>0</v>
      </c>
      <c r="J93" s="97"/>
      <c r="K93" s="97">
        <v>0</v>
      </c>
      <c r="L93" s="97">
        <v>4</v>
      </c>
      <c r="M93" s="97">
        <f>SUM(I93:L93)</f>
        <v>4</v>
      </c>
      <c r="N93" s="35"/>
      <c r="O93" s="40" t="s">
        <v>211</v>
      </c>
      <c r="P93" s="167">
        <f t="shared" ref="P93:P102" si="24">G93*0.3*30%*50000000</f>
        <v>0</v>
      </c>
      <c r="Q93" s="16"/>
    </row>
    <row r="94" spans="1:17" ht="15" customHeight="1" x14ac:dyDescent="0.3">
      <c r="A94" s="16"/>
      <c r="B94" s="14"/>
      <c r="C94" s="15"/>
      <c r="D94" s="26"/>
      <c r="E94" s="101" t="s">
        <v>220</v>
      </c>
      <c r="F94" s="96">
        <f>2%*D93</f>
        <v>5.9390000000000001</v>
      </c>
      <c r="G94" s="97"/>
      <c r="H94" s="96">
        <f>SUM(F94:G94)</f>
        <v>5.9390000000000001</v>
      </c>
      <c r="I94" s="97">
        <v>0</v>
      </c>
      <c r="J94" s="97"/>
      <c r="K94" s="97">
        <v>0</v>
      </c>
      <c r="L94" s="97">
        <v>4</v>
      </c>
      <c r="M94" s="97">
        <f>SUM(I94:L94)</f>
        <v>4</v>
      </c>
      <c r="N94" s="35"/>
      <c r="O94" s="40"/>
      <c r="P94" s="167">
        <f t="shared" si="24"/>
        <v>0</v>
      </c>
      <c r="Q94" s="16"/>
    </row>
    <row r="95" spans="1:17" ht="32.25" customHeight="1" x14ac:dyDescent="0.3">
      <c r="A95" s="16"/>
      <c r="B95" s="14" t="s">
        <v>58</v>
      </c>
      <c r="C95" s="15" t="s">
        <v>42</v>
      </c>
      <c r="D95" s="26">
        <v>248.5</v>
      </c>
      <c r="E95" s="101" t="s">
        <v>203</v>
      </c>
      <c r="F95" s="96">
        <f>5%*D95</f>
        <v>12.425000000000001</v>
      </c>
      <c r="G95" s="97">
        <v>0</v>
      </c>
      <c r="H95" s="96">
        <f t="shared" si="23"/>
        <v>12.425000000000001</v>
      </c>
      <c r="I95" s="97">
        <v>0</v>
      </c>
      <c r="J95" s="97"/>
      <c r="K95" s="97">
        <v>0</v>
      </c>
      <c r="L95" s="97">
        <v>4</v>
      </c>
      <c r="M95" s="97">
        <f>SUM(I95:L95)</f>
        <v>4</v>
      </c>
      <c r="N95" s="35"/>
      <c r="O95" s="40" t="s">
        <v>137</v>
      </c>
      <c r="P95" s="167">
        <f t="shared" si="24"/>
        <v>0</v>
      </c>
      <c r="Q95" s="16"/>
    </row>
    <row r="96" spans="1:17" ht="14.25" customHeight="1" x14ac:dyDescent="0.3">
      <c r="A96" s="16"/>
      <c r="B96" s="14"/>
      <c r="C96" s="15"/>
      <c r="D96" s="26"/>
      <c r="E96" s="101" t="s">
        <v>220</v>
      </c>
      <c r="F96" s="96">
        <f>8%*D95</f>
        <v>19.88</v>
      </c>
      <c r="G96" s="97"/>
      <c r="H96" s="96">
        <f>SUM(F96:G96)</f>
        <v>19.88</v>
      </c>
      <c r="I96" s="97"/>
      <c r="J96" s="97"/>
      <c r="K96" s="97"/>
      <c r="L96" s="97"/>
      <c r="M96" s="97"/>
      <c r="N96" s="35"/>
      <c r="O96" s="40"/>
      <c r="P96" s="167">
        <f t="shared" si="24"/>
        <v>0</v>
      </c>
      <c r="Q96" s="16"/>
    </row>
    <row r="97" spans="1:17" ht="22.5" customHeight="1" x14ac:dyDescent="0.3">
      <c r="A97" s="16"/>
      <c r="B97" s="14" t="s">
        <v>59</v>
      </c>
      <c r="C97" s="15" t="s">
        <v>21</v>
      </c>
      <c r="D97" s="18">
        <v>156.94999999999999</v>
      </c>
      <c r="E97" s="101" t="s">
        <v>203</v>
      </c>
      <c r="F97" s="145"/>
      <c r="G97" s="146">
        <v>5</v>
      </c>
      <c r="H97" s="96">
        <f t="shared" si="23"/>
        <v>5</v>
      </c>
      <c r="I97" s="97">
        <v>0</v>
      </c>
      <c r="J97" s="97"/>
      <c r="K97" s="97">
        <v>0</v>
      </c>
      <c r="L97" s="97">
        <v>2</v>
      </c>
      <c r="M97" s="97">
        <f>SUM(I97:L97)</f>
        <v>2</v>
      </c>
      <c r="N97" s="35"/>
      <c r="O97" s="36"/>
      <c r="P97" s="167">
        <f t="shared" si="24"/>
        <v>22499999.999999996</v>
      </c>
      <c r="Q97" s="16"/>
    </row>
    <row r="98" spans="1:17" ht="15.75" customHeight="1" x14ac:dyDescent="0.3">
      <c r="A98" s="16"/>
      <c r="B98" s="14"/>
      <c r="C98" s="15"/>
      <c r="D98" s="18"/>
      <c r="E98" s="101" t="s">
        <v>220</v>
      </c>
      <c r="F98" s="96">
        <f>8%*D97</f>
        <v>12.555999999999999</v>
      </c>
      <c r="G98" s="97"/>
      <c r="H98" s="96">
        <f>SUM(F98:G98)</f>
        <v>12.555999999999999</v>
      </c>
      <c r="I98" s="97"/>
      <c r="J98" s="97"/>
      <c r="K98" s="97"/>
      <c r="L98" s="97"/>
      <c r="M98" s="97"/>
      <c r="N98" s="35"/>
      <c r="O98" s="36"/>
      <c r="P98" s="167">
        <f t="shared" si="24"/>
        <v>0</v>
      </c>
      <c r="Q98" s="16"/>
    </row>
    <row r="99" spans="1:17" ht="24" customHeight="1" x14ac:dyDescent="0.3">
      <c r="A99" s="16"/>
      <c r="B99" s="14" t="s">
        <v>60</v>
      </c>
      <c r="C99" s="15" t="s">
        <v>43</v>
      </c>
      <c r="D99" s="26">
        <v>455.8</v>
      </c>
      <c r="E99" s="101" t="s">
        <v>221</v>
      </c>
      <c r="F99" s="96">
        <f>7%*D99</f>
        <v>31.906000000000002</v>
      </c>
      <c r="G99" s="97">
        <v>0</v>
      </c>
      <c r="H99" s="96">
        <f t="shared" si="23"/>
        <v>31.906000000000002</v>
      </c>
      <c r="I99" s="97">
        <v>0</v>
      </c>
      <c r="J99" s="97"/>
      <c r="K99" s="97">
        <v>0</v>
      </c>
      <c r="L99" s="97">
        <v>5</v>
      </c>
      <c r="M99" s="97">
        <f>SUM(I99:L99)</f>
        <v>5</v>
      </c>
      <c r="N99" s="35"/>
      <c r="O99" s="36"/>
      <c r="P99" s="167">
        <f t="shared" si="24"/>
        <v>0</v>
      </c>
      <c r="Q99" s="16"/>
    </row>
    <row r="100" spans="1:17" ht="20.25" customHeight="1" x14ac:dyDescent="0.3">
      <c r="A100" s="16"/>
      <c r="B100" s="14"/>
      <c r="C100" s="15"/>
      <c r="D100" s="26"/>
      <c r="E100" s="101" t="s">
        <v>220</v>
      </c>
      <c r="F100" s="96"/>
      <c r="G100" s="96">
        <f>13%*D99</f>
        <v>59.254000000000005</v>
      </c>
      <c r="H100" s="96">
        <f>SUM(F100:G100)</f>
        <v>59.254000000000005</v>
      </c>
      <c r="I100" s="97"/>
      <c r="J100" s="97"/>
      <c r="K100" s="97"/>
      <c r="L100" s="97"/>
      <c r="M100" s="97"/>
      <c r="N100" s="35"/>
      <c r="O100" s="36"/>
      <c r="P100" s="167">
        <f t="shared" si="24"/>
        <v>266642999.99999997</v>
      </c>
      <c r="Q100" s="16"/>
    </row>
    <row r="101" spans="1:17" ht="23.25" customHeight="1" x14ac:dyDescent="0.3">
      <c r="A101" s="16"/>
      <c r="B101" s="14" t="s">
        <v>61</v>
      </c>
      <c r="C101" s="15" t="s">
        <v>44</v>
      </c>
      <c r="D101" s="26">
        <v>87.95</v>
      </c>
      <c r="E101" s="101" t="s">
        <v>203</v>
      </c>
      <c r="F101" s="26">
        <f>9%*D101</f>
        <v>7.9154999999999998</v>
      </c>
      <c r="G101" s="19">
        <v>0</v>
      </c>
      <c r="H101" s="26">
        <f t="shared" si="23"/>
        <v>7.9154999999999998</v>
      </c>
      <c r="I101" s="19">
        <v>0</v>
      </c>
      <c r="J101" s="19"/>
      <c r="K101" s="19">
        <v>6</v>
      </c>
      <c r="L101" s="19">
        <v>0</v>
      </c>
      <c r="M101" s="19">
        <f t="shared" ref="M101:M103" si="25">SUM(I101:L101)</f>
        <v>6</v>
      </c>
      <c r="N101" s="35"/>
      <c r="O101" s="36"/>
      <c r="P101" s="167">
        <f t="shared" si="24"/>
        <v>0</v>
      </c>
      <c r="Q101" s="16"/>
    </row>
    <row r="102" spans="1:17" ht="18.75" customHeight="1" x14ac:dyDescent="0.3">
      <c r="A102" s="16"/>
      <c r="B102" s="14"/>
      <c r="C102" s="15"/>
      <c r="D102" s="26"/>
      <c r="E102" s="101" t="s">
        <v>220</v>
      </c>
      <c r="F102" s="26"/>
      <c r="G102" s="26">
        <f>9%*D101</f>
        <v>7.9154999999999998</v>
      </c>
      <c r="H102" s="26">
        <f>SUM(F102:G102)</f>
        <v>7.9154999999999998</v>
      </c>
      <c r="I102" s="97">
        <v>0</v>
      </c>
      <c r="J102" s="97">
        <v>0</v>
      </c>
      <c r="K102" s="97">
        <v>0</v>
      </c>
      <c r="L102" s="97">
        <v>0</v>
      </c>
      <c r="M102" s="97">
        <f t="shared" si="25"/>
        <v>0</v>
      </c>
      <c r="N102" s="35"/>
      <c r="O102" s="36"/>
      <c r="P102" s="167">
        <f t="shared" si="24"/>
        <v>35619750</v>
      </c>
      <c r="Q102" s="16"/>
    </row>
    <row r="103" spans="1:17" ht="7.5" customHeight="1" x14ac:dyDescent="0.3">
      <c r="A103" s="87"/>
      <c r="B103" s="55"/>
      <c r="C103" s="56"/>
      <c r="D103" s="57"/>
      <c r="E103" s="132"/>
      <c r="F103" s="124"/>
      <c r="G103" s="124"/>
      <c r="H103" s="124">
        <f>SUM(F103:G103)</f>
        <v>0</v>
      </c>
      <c r="I103" s="133">
        <v>0</v>
      </c>
      <c r="J103" s="133">
        <v>0</v>
      </c>
      <c r="K103" s="133">
        <v>0</v>
      </c>
      <c r="L103" s="133">
        <v>0</v>
      </c>
      <c r="M103" s="133">
        <f t="shared" si="25"/>
        <v>0</v>
      </c>
      <c r="N103" s="80"/>
      <c r="O103" s="81"/>
      <c r="P103" s="81"/>
      <c r="Q103" s="87"/>
    </row>
    <row r="104" spans="1:17" ht="18.75" customHeight="1" x14ac:dyDescent="0.3">
      <c r="A104" s="75"/>
      <c r="B104" s="72" t="s">
        <v>350</v>
      </c>
      <c r="C104" s="72"/>
      <c r="D104" s="73">
        <f>SUM(D93:D103)</f>
        <v>1246.1500000000001</v>
      </c>
      <c r="E104" s="74"/>
      <c r="F104" s="73">
        <f>SUM(F86:F103)</f>
        <v>138.93280000000001</v>
      </c>
      <c r="G104" s="83">
        <f>SUM(G86:G103)</f>
        <v>72.169499999999999</v>
      </c>
      <c r="H104" s="73">
        <f>SUM(H86:H103)</f>
        <v>211.10230000000001</v>
      </c>
      <c r="I104" s="83">
        <f>SUM(I93:I103)</f>
        <v>0</v>
      </c>
      <c r="J104" s="83">
        <f>SUM(J93:J103)</f>
        <v>0</v>
      </c>
      <c r="K104" s="83">
        <f>SUM(K93:K103)</f>
        <v>6</v>
      </c>
      <c r="L104" s="83">
        <f>SUM(L93:L103)</f>
        <v>19</v>
      </c>
      <c r="M104" s="83">
        <f>SUM(M92:M103)</f>
        <v>25</v>
      </c>
      <c r="N104" s="76"/>
      <c r="O104" s="77"/>
      <c r="P104" s="168">
        <f>SUM(P93:P103)</f>
        <v>324762749.99999994</v>
      </c>
      <c r="Q104" s="75"/>
    </row>
    <row r="105" spans="1:17" ht="8.25" customHeight="1" x14ac:dyDescent="0.3">
      <c r="F105" s="2"/>
      <c r="G105" s="2"/>
      <c r="H105" s="2"/>
      <c r="I105" s="2"/>
      <c r="J105" s="2"/>
      <c r="K105" s="2"/>
      <c r="L105" s="2"/>
      <c r="M105" s="2"/>
    </row>
    <row r="106" spans="1:17" ht="14.25" customHeight="1" x14ac:dyDescent="0.3">
      <c r="F106" s="2"/>
      <c r="G106" s="2"/>
      <c r="H106" s="2"/>
      <c r="I106" s="2"/>
      <c r="J106" s="2" t="s">
        <v>280</v>
      </c>
      <c r="K106" s="2"/>
      <c r="L106" s="2"/>
      <c r="M106" s="2"/>
    </row>
    <row r="107" spans="1:17" ht="12" customHeight="1" x14ac:dyDescent="0.3">
      <c r="A107" s="395" t="s">
        <v>80</v>
      </c>
      <c r="B107" s="395"/>
      <c r="C107" s="395"/>
      <c r="D107" s="395"/>
    </row>
    <row r="108" spans="1:17" x14ac:dyDescent="0.3">
      <c r="A108" s="395" t="s">
        <v>81</v>
      </c>
      <c r="B108" s="395"/>
      <c r="C108" s="395"/>
      <c r="D108" s="395"/>
      <c r="J108" s="1" t="s">
        <v>85</v>
      </c>
    </row>
    <row r="109" spans="1:17" x14ac:dyDescent="0.3">
      <c r="A109" s="395" t="s">
        <v>82</v>
      </c>
      <c r="B109" s="395"/>
      <c r="C109" s="395"/>
      <c r="D109" s="395"/>
      <c r="J109" s="3" t="s">
        <v>86</v>
      </c>
      <c r="K109" s="1" t="s">
        <v>87</v>
      </c>
      <c r="O109" s="1" t="s">
        <v>90</v>
      </c>
    </row>
    <row r="110" spans="1:17" x14ac:dyDescent="0.3">
      <c r="A110" s="395" t="s">
        <v>83</v>
      </c>
      <c r="B110" s="395"/>
      <c r="C110" s="395"/>
      <c r="D110" s="395"/>
      <c r="K110" s="1" t="s">
        <v>91</v>
      </c>
    </row>
    <row r="111" spans="1:17" ht="13.5" customHeight="1" x14ac:dyDescent="0.3"/>
    <row r="112" spans="1:17" x14ac:dyDescent="0.3">
      <c r="J112" s="3" t="s">
        <v>88</v>
      </c>
      <c r="K112" s="1" t="s">
        <v>89</v>
      </c>
      <c r="O112" s="1" t="s">
        <v>90</v>
      </c>
    </row>
    <row r="113" spans="1:15" x14ac:dyDescent="0.3">
      <c r="K113" s="1" t="s">
        <v>92</v>
      </c>
    </row>
    <row r="114" spans="1:15" x14ac:dyDescent="0.3">
      <c r="A114" s="398" t="s">
        <v>175</v>
      </c>
      <c r="B114" s="398"/>
      <c r="C114" s="398"/>
      <c r="D114" s="398"/>
    </row>
    <row r="115" spans="1:15" x14ac:dyDescent="0.3">
      <c r="A115" s="395" t="s">
        <v>190</v>
      </c>
      <c r="B115" s="395"/>
      <c r="C115" s="395"/>
      <c r="D115" s="395"/>
      <c r="J115" s="1" t="s">
        <v>254</v>
      </c>
      <c r="K115" s="1" t="s">
        <v>255</v>
      </c>
      <c r="O115" s="1" t="s">
        <v>90</v>
      </c>
    </row>
    <row r="116" spans="1:15" x14ac:dyDescent="0.3">
      <c r="K116" s="1" t="s">
        <v>256</v>
      </c>
    </row>
  </sheetData>
  <mergeCells count="21">
    <mergeCell ref="A114:D114"/>
    <mergeCell ref="A115:D115"/>
    <mergeCell ref="B7:C7"/>
    <mergeCell ref="O26:O30"/>
    <mergeCell ref="A107:D107"/>
    <mergeCell ref="A108:D108"/>
    <mergeCell ref="A109:D109"/>
    <mergeCell ref="A110:D110"/>
    <mergeCell ref="B24:C24"/>
    <mergeCell ref="B31:C31"/>
    <mergeCell ref="A1:Q1"/>
    <mergeCell ref="A2:Q2"/>
    <mergeCell ref="A6:A7"/>
    <mergeCell ref="B6:C6"/>
    <mergeCell ref="D6:D7"/>
    <mergeCell ref="E6:E7"/>
    <mergeCell ref="F6:H6"/>
    <mergeCell ref="I6:M6"/>
    <mergeCell ref="N6:O7"/>
    <mergeCell ref="Q6:Q7"/>
    <mergeCell ref="P6:P7"/>
  </mergeCells>
  <pageMargins left="0.46" right="0.70866141732283472" top="0.74803149606299213" bottom="0.74803149606299213" header="0.31496062992125984" footer="0.31496062992125984"/>
  <pageSetup paperSize="5" scale="90" orientation="landscape" horizontalDpi="4294967293"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S116"/>
  <sheetViews>
    <sheetView view="pageBreakPreview" topLeftCell="A61" zoomScale="96" zoomScaleNormal="100" zoomScaleSheetLayoutView="96" workbookViewId="0">
      <selection activeCell="O55" sqref="O55"/>
    </sheetView>
  </sheetViews>
  <sheetFormatPr defaultColWidth="9.1796875" defaultRowHeight="14" x14ac:dyDescent="0.3"/>
  <cols>
    <col min="1" max="1" width="8" style="1" customWidth="1"/>
    <col min="2" max="2" width="2.1796875" style="1" customWidth="1"/>
    <col min="3" max="3" width="19" style="1" customWidth="1"/>
    <col min="4" max="4" width="10" style="1" customWidth="1"/>
    <col min="5" max="5" width="22" style="1" customWidth="1"/>
    <col min="6" max="6" width="10" style="1" bestFit="1" customWidth="1"/>
    <col min="7" max="7" width="8.81640625" style="1" customWidth="1"/>
    <col min="8" max="8" width="9" style="1" customWidth="1"/>
    <col min="9" max="9" width="6.7265625" style="1" customWidth="1"/>
    <col min="10" max="10" width="7" style="1" customWidth="1"/>
    <col min="11" max="12" width="7.54296875" style="1" customWidth="1"/>
    <col min="13" max="13" width="6.81640625" style="1" bestFit="1" customWidth="1"/>
    <col min="14" max="14" width="2.1796875" style="1" customWidth="1"/>
    <col min="15" max="15" width="20.1796875" style="1" customWidth="1"/>
    <col min="16" max="16" width="13.81640625" style="1" customWidth="1"/>
    <col min="17" max="17" width="10.26953125" style="1" customWidth="1"/>
    <col min="18" max="16384" width="9.1796875" style="1"/>
  </cols>
  <sheetData>
    <row r="1" spans="1:19" x14ac:dyDescent="0.3">
      <c r="A1" s="385" t="s">
        <v>260</v>
      </c>
      <c r="B1" s="385"/>
      <c r="C1" s="385"/>
      <c r="D1" s="385"/>
      <c r="E1" s="385"/>
      <c r="F1" s="385"/>
      <c r="G1" s="385"/>
      <c r="H1" s="385"/>
      <c r="I1" s="385"/>
      <c r="J1" s="385"/>
      <c r="K1" s="385"/>
      <c r="L1" s="385"/>
      <c r="M1" s="385"/>
      <c r="N1" s="385"/>
      <c r="O1" s="385"/>
      <c r="P1" s="385"/>
      <c r="Q1" s="385"/>
    </row>
    <row r="2" spans="1:19" ht="14.25" customHeight="1" x14ac:dyDescent="0.3">
      <c r="A2" s="385" t="s">
        <v>261</v>
      </c>
      <c r="B2" s="385"/>
      <c r="C2" s="385"/>
      <c r="D2" s="385"/>
      <c r="E2" s="385"/>
      <c r="F2" s="385"/>
      <c r="G2" s="385"/>
      <c r="H2" s="385"/>
      <c r="I2" s="385"/>
      <c r="J2" s="385"/>
      <c r="K2" s="385"/>
      <c r="L2" s="385"/>
      <c r="M2" s="385"/>
      <c r="N2" s="385"/>
      <c r="O2" s="385"/>
      <c r="P2" s="385"/>
      <c r="Q2" s="385"/>
    </row>
    <row r="3" spans="1:19" ht="14.25" customHeight="1" x14ac:dyDescent="0.3">
      <c r="A3" s="1" t="s">
        <v>1</v>
      </c>
      <c r="B3" s="1" t="s">
        <v>78</v>
      </c>
      <c r="C3" s="1" t="s">
        <v>77</v>
      </c>
    </row>
    <row r="4" spans="1:19" ht="14.25" customHeight="1" x14ac:dyDescent="0.3">
      <c r="A4" s="1" t="s">
        <v>2</v>
      </c>
      <c r="B4" s="1" t="s">
        <v>78</v>
      </c>
      <c r="C4" s="4" t="s">
        <v>284</v>
      </c>
    </row>
    <row r="6" spans="1:19" x14ac:dyDescent="0.3">
      <c r="A6" s="386" t="s">
        <v>3</v>
      </c>
      <c r="B6" s="388" t="s">
        <v>4</v>
      </c>
      <c r="C6" s="388"/>
      <c r="D6" s="389" t="s">
        <v>259</v>
      </c>
      <c r="E6" s="391" t="s">
        <v>7</v>
      </c>
      <c r="F6" s="393" t="s">
        <v>170</v>
      </c>
      <c r="G6" s="393"/>
      <c r="H6" s="393"/>
      <c r="I6" s="393" t="s">
        <v>12</v>
      </c>
      <c r="J6" s="393"/>
      <c r="K6" s="393"/>
      <c r="L6" s="393"/>
      <c r="M6" s="393"/>
      <c r="N6" s="391" t="s">
        <v>17</v>
      </c>
      <c r="O6" s="391"/>
      <c r="P6" s="391" t="s">
        <v>258</v>
      </c>
      <c r="Q6" s="386" t="s">
        <v>192</v>
      </c>
    </row>
    <row r="7" spans="1:19" x14ac:dyDescent="0.3">
      <c r="A7" s="387"/>
      <c r="B7" s="394" t="s">
        <v>5</v>
      </c>
      <c r="C7" s="394"/>
      <c r="D7" s="390"/>
      <c r="E7" s="392"/>
      <c r="F7" s="147" t="s">
        <v>9</v>
      </c>
      <c r="G7" s="147" t="s">
        <v>10</v>
      </c>
      <c r="H7" s="147" t="s">
        <v>11</v>
      </c>
      <c r="I7" s="147" t="s">
        <v>16</v>
      </c>
      <c r="J7" s="147" t="s">
        <v>13</v>
      </c>
      <c r="K7" s="147" t="s">
        <v>14</v>
      </c>
      <c r="L7" s="148" t="s">
        <v>257</v>
      </c>
      <c r="M7" s="147" t="s">
        <v>11</v>
      </c>
      <c r="N7" s="392"/>
      <c r="O7" s="392"/>
      <c r="P7" s="392"/>
      <c r="Q7" s="387"/>
    </row>
    <row r="8" spans="1:19" ht="9" customHeight="1" x14ac:dyDescent="0.3">
      <c r="A8" s="5"/>
      <c r="B8" s="8"/>
      <c r="C8" s="10"/>
      <c r="D8" s="5"/>
      <c r="E8" s="5"/>
      <c r="F8" s="5"/>
      <c r="G8" s="5"/>
      <c r="H8" s="5"/>
      <c r="I8" s="5"/>
      <c r="J8" s="5"/>
      <c r="K8" s="5"/>
      <c r="L8" s="5"/>
      <c r="M8" s="5"/>
      <c r="N8" s="8"/>
      <c r="O8" s="10"/>
      <c r="P8" s="10"/>
      <c r="Q8" s="5"/>
    </row>
    <row r="9" spans="1:19" ht="18.75" customHeight="1" x14ac:dyDescent="0.3">
      <c r="A9" s="13">
        <v>1</v>
      </c>
      <c r="B9" s="14" t="s">
        <v>20</v>
      </c>
      <c r="C9" s="15"/>
      <c r="D9" s="16"/>
      <c r="E9" s="47"/>
      <c r="F9" s="16"/>
      <c r="G9" s="16"/>
      <c r="H9" s="16"/>
      <c r="I9" s="16"/>
      <c r="J9" s="16"/>
      <c r="K9" s="16"/>
      <c r="L9" s="16"/>
      <c r="M9" s="16"/>
      <c r="N9" s="35"/>
      <c r="O9" s="36"/>
      <c r="P9" s="36"/>
      <c r="Q9" s="16"/>
      <c r="R9" s="1" t="s">
        <v>333</v>
      </c>
      <c r="S9" s="1" t="s">
        <v>334</v>
      </c>
    </row>
    <row r="10" spans="1:19" ht="18.75" customHeight="1" x14ac:dyDescent="0.3">
      <c r="A10" s="13"/>
      <c r="B10" s="17" t="s">
        <v>57</v>
      </c>
      <c r="C10" s="15" t="s">
        <v>21</v>
      </c>
      <c r="D10" s="18">
        <v>418.06</v>
      </c>
      <c r="E10" s="47" t="s">
        <v>36</v>
      </c>
      <c r="F10" s="26">
        <f>4%*D10</f>
        <v>16.7224</v>
      </c>
      <c r="G10" s="26">
        <f>0%*D10</f>
        <v>0</v>
      </c>
      <c r="H10" s="26">
        <f>SUM(F10:G10)</f>
        <v>16.7224</v>
      </c>
      <c r="I10" s="19">
        <v>0</v>
      </c>
      <c r="J10" s="19"/>
      <c r="K10" s="19">
        <v>3</v>
      </c>
      <c r="L10" s="19">
        <v>4</v>
      </c>
      <c r="M10" s="20">
        <f>SUM(I10:L10)</f>
        <v>7</v>
      </c>
      <c r="N10" s="37"/>
      <c r="O10" s="36"/>
      <c r="P10" s="172"/>
      <c r="Q10" s="16"/>
    </row>
    <row r="11" spans="1:19" ht="18.75" customHeight="1" x14ac:dyDescent="0.3">
      <c r="A11" s="13"/>
      <c r="B11" s="14"/>
      <c r="C11" s="15"/>
      <c r="D11" s="18"/>
      <c r="E11" s="47" t="s">
        <v>37</v>
      </c>
      <c r="F11" s="26">
        <f>4%*D10</f>
        <v>16.7224</v>
      </c>
      <c r="G11" s="26">
        <f>0%*D10</f>
        <v>0</v>
      </c>
      <c r="H11" s="26">
        <f>SUM(F11:G11)</f>
        <v>16.7224</v>
      </c>
      <c r="I11" s="19">
        <v>0</v>
      </c>
      <c r="J11" s="19"/>
      <c r="K11" s="19"/>
      <c r="L11" s="19">
        <v>3</v>
      </c>
      <c r="M11" s="20">
        <f t="shared" ref="M11:M23" si="0">SUM(I11:L11)</f>
        <v>3</v>
      </c>
      <c r="N11" s="37" t="s">
        <v>51</v>
      </c>
      <c r="O11" s="38" t="s">
        <v>50</v>
      </c>
      <c r="P11" s="172"/>
      <c r="Q11" s="16"/>
    </row>
    <row r="12" spans="1:19" ht="18.75" customHeight="1" x14ac:dyDescent="0.3">
      <c r="A12" s="13"/>
      <c r="B12" s="14"/>
      <c r="C12" s="15"/>
      <c r="D12" s="18"/>
      <c r="E12" s="47" t="s">
        <v>38</v>
      </c>
      <c r="F12" s="26">
        <f>3%*D10</f>
        <v>12.5418</v>
      </c>
      <c r="G12" s="26">
        <f>0%*D10</f>
        <v>0</v>
      </c>
      <c r="H12" s="26">
        <f>SUM(F12:G12)</f>
        <v>12.5418</v>
      </c>
      <c r="I12" s="19">
        <v>0</v>
      </c>
      <c r="J12" s="19"/>
      <c r="K12" s="19">
        <v>3</v>
      </c>
      <c r="L12" s="19">
        <v>4</v>
      </c>
      <c r="M12" s="20">
        <f t="shared" si="0"/>
        <v>7</v>
      </c>
      <c r="N12" s="37" t="s">
        <v>51</v>
      </c>
      <c r="O12" s="36" t="s">
        <v>49</v>
      </c>
      <c r="P12" s="172"/>
      <c r="Q12" s="16"/>
    </row>
    <row r="13" spans="1:19" ht="28.5" customHeight="1" x14ac:dyDescent="0.3">
      <c r="A13" s="13"/>
      <c r="B13" s="14"/>
      <c r="C13" s="15"/>
      <c r="D13" s="18"/>
      <c r="E13" s="48" t="s">
        <v>39</v>
      </c>
      <c r="F13" s="96">
        <f>20%*D10</f>
        <v>83.612000000000009</v>
      </c>
      <c r="G13" s="96">
        <f>0%*D10</f>
        <v>0</v>
      </c>
      <c r="H13" s="96">
        <f>SUM(F13:G13)</f>
        <v>83.612000000000009</v>
      </c>
      <c r="I13" s="97">
        <v>0</v>
      </c>
      <c r="J13" s="97">
        <v>0</v>
      </c>
      <c r="K13" s="97">
        <v>0</v>
      </c>
      <c r="L13" s="97">
        <v>3</v>
      </c>
      <c r="M13" s="121">
        <f t="shared" si="0"/>
        <v>3</v>
      </c>
      <c r="N13" s="39" t="s">
        <v>51</v>
      </c>
      <c r="O13" s="40" t="s">
        <v>48</v>
      </c>
      <c r="P13" s="172"/>
      <c r="Q13" s="16"/>
    </row>
    <row r="14" spans="1:19" ht="18.75" customHeight="1" x14ac:dyDescent="0.3">
      <c r="A14" s="13"/>
      <c r="B14" s="17" t="s">
        <v>58</v>
      </c>
      <c r="C14" s="15" t="s">
        <v>22</v>
      </c>
      <c r="D14" s="18">
        <v>827.82</v>
      </c>
      <c r="E14" s="47" t="s">
        <v>36</v>
      </c>
      <c r="F14" s="26">
        <f>5%*D14</f>
        <v>41.391000000000005</v>
      </c>
      <c r="G14" s="26">
        <f>1%*D14</f>
        <v>8.2782</v>
      </c>
      <c r="H14" s="26">
        <f>SUM(F14:G14)</f>
        <v>49.669200000000004</v>
      </c>
      <c r="I14" s="19">
        <v>0</v>
      </c>
      <c r="J14" s="19"/>
      <c r="K14" s="19">
        <v>5</v>
      </c>
      <c r="L14" s="19">
        <v>5</v>
      </c>
      <c r="M14" s="20">
        <f t="shared" si="0"/>
        <v>10</v>
      </c>
      <c r="N14" s="35" t="s">
        <v>51</v>
      </c>
      <c r="O14" s="41" t="s">
        <v>137</v>
      </c>
      <c r="P14" s="172"/>
      <c r="Q14" s="16"/>
    </row>
    <row r="15" spans="1:19" ht="18.75" customHeight="1" x14ac:dyDescent="0.3">
      <c r="A15" s="13"/>
      <c r="B15" s="14"/>
      <c r="C15" s="15"/>
      <c r="D15" s="26"/>
      <c r="E15" s="47" t="s">
        <v>37</v>
      </c>
      <c r="F15" s="26">
        <f>3%*D14</f>
        <v>24.834600000000002</v>
      </c>
      <c r="G15" s="26">
        <f>2%*D14</f>
        <v>16.5564</v>
      </c>
      <c r="H15" s="26">
        <f t="shared" ref="H15:H17" si="1">SUM(F15:G15)</f>
        <v>41.391000000000005</v>
      </c>
      <c r="I15" s="19">
        <v>0</v>
      </c>
      <c r="J15" s="19"/>
      <c r="K15" s="19">
        <v>5</v>
      </c>
      <c r="L15" s="19">
        <v>5</v>
      </c>
      <c r="M15" s="20">
        <f t="shared" si="0"/>
        <v>10</v>
      </c>
      <c r="N15" s="35"/>
      <c r="O15" s="36"/>
      <c r="P15" s="172"/>
      <c r="Q15" s="16"/>
    </row>
    <row r="16" spans="1:19" ht="18.75" customHeight="1" x14ac:dyDescent="0.3">
      <c r="A16" s="13"/>
      <c r="B16" s="14"/>
      <c r="C16" s="15"/>
      <c r="D16" s="26"/>
      <c r="E16" s="47" t="s">
        <v>38</v>
      </c>
      <c r="F16" s="26">
        <f>4%*D14</f>
        <v>33.1128</v>
      </c>
      <c r="G16" s="26">
        <f>3%*D14</f>
        <v>24.834600000000002</v>
      </c>
      <c r="H16" s="26">
        <f t="shared" si="1"/>
        <v>57.947400000000002</v>
      </c>
      <c r="I16" s="19">
        <v>0</v>
      </c>
      <c r="J16" s="19"/>
      <c r="K16" s="19">
        <v>5</v>
      </c>
      <c r="L16" s="19">
        <v>3</v>
      </c>
      <c r="M16" s="20">
        <f t="shared" si="0"/>
        <v>8</v>
      </c>
      <c r="N16" s="35"/>
      <c r="O16" s="36"/>
      <c r="P16" s="172"/>
      <c r="Q16" s="16"/>
    </row>
    <row r="17" spans="1:17" ht="29.25" customHeight="1" x14ac:dyDescent="0.3">
      <c r="A17" s="54"/>
      <c r="B17" s="55"/>
      <c r="C17" s="56"/>
      <c r="D17" s="57"/>
      <c r="E17" s="58" t="s">
        <v>39</v>
      </c>
      <c r="F17" s="119">
        <f>6%*D14</f>
        <v>49.669200000000004</v>
      </c>
      <c r="G17" s="119">
        <f>8%*D14</f>
        <v>66.2256</v>
      </c>
      <c r="H17" s="119">
        <f t="shared" si="1"/>
        <v>115.8948</v>
      </c>
      <c r="I17" s="59">
        <v>0</v>
      </c>
      <c r="J17" s="59">
        <v>0</v>
      </c>
      <c r="K17" s="59">
        <v>0</v>
      </c>
      <c r="L17" s="59">
        <v>4</v>
      </c>
      <c r="M17" s="60">
        <f t="shared" si="0"/>
        <v>4</v>
      </c>
      <c r="N17" s="42"/>
      <c r="O17" s="38"/>
      <c r="P17" s="172"/>
      <c r="Q17" s="29"/>
    </row>
    <row r="18" spans="1:17" ht="15" customHeight="1" x14ac:dyDescent="0.3">
      <c r="A18" s="54"/>
      <c r="B18" s="55" t="s">
        <v>59</v>
      </c>
      <c r="C18" s="56" t="s">
        <v>27</v>
      </c>
      <c r="D18" s="18">
        <v>113.45</v>
      </c>
      <c r="E18" s="47" t="s">
        <v>36</v>
      </c>
      <c r="F18" s="26">
        <f>50%*D18</f>
        <v>56.725000000000001</v>
      </c>
      <c r="G18" s="26">
        <f>4%*D18</f>
        <v>4.5380000000000003</v>
      </c>
      <c r="H18" s="26">
        <f>SUM(F18:G18)</f>
        <v>61.263000000000005</v>
      </c>
      <c r="I18" s="19">
        <v>0</v>
      </c>
      <c r="J18" s="19"/>
      <c r="K18" s="19">
        <v>2</v>
      </c>
      <c r="L18" s="19"/>
      <c r="M18" s="20">
        <f t="shared" si="0"/>
        <v>2</v>
      </c>
      <c r="N18" s="42"/>
      <c r="O18" s="38"/>
      <c r="P18" s="172"/>
      <c r="Q18" s="29"/>
    </row>
    <row r="19" spans="1:17" ht="15" customHeight="1" x14ac:dyDescent="0.3">
      <c r="A19" s="54"/>
      <c r="B19" s="55"/>
      <c r="C19" s="56"/>
      <c r="D19" s="26"/>
      <c r="E19" s="47" t="s">
        <v>37</v>
      </c>
      <c r="F19" s="26">
        <f>2%*D18</f>
        <v>2.2690000000000001</v>
      </c>
      <c r="G19" s="26">
        <f>5%*D18</f>
        <v>5.6725000000000003</v>
      </c>
      <c r="H19" s="26">
        <f t="shared" ref="H19:H20" si="2">SUM(F19:G19)</f>
        <v>7.9415000000000004</v>
      </c>
      <c r="I19" s="19">
        <v>0</v>
      </c>
      <c r="J19" s="19"/>
      <c r="K19" s="19">
        <v>2</v>
      </c>
      <c r="L19" s="19">
        <v>1</v>
      </c>
      <c r="M19" s="20">
        <f t="shared" si="0"/>
        <v>3</v>
      </c>
      <c r="N19" s="42"/>
      <c r="O19" s="38"/>
      <c r="P19" s="172"/>
      <c r="Q19" s="29"/>
    </row>
    <row r="20" spans="1:17" ht="14.25" customHeight="1" x14ac:dyDescent="0.3">
      <c r="A20" s="54"/>
      <c r="B20" s="55"/>
      <c r="C20" s="56"/>
      <c r="D20" s="26"/>
      <c r="E20" s="47" t="s">
        <v>38</v>
      </c>
      <c r="F20" s="26">
        <f>2%*D18</f>
        <v>2.2690000000000001</v>
      </c>
      <c r="G20" s="26">
        <f>30%*D18</f>
        <v>34.034999999999997</v>
      </c>
      <c r="H20" s="26">
        <f t="shared" si="2"/>
        <v>36.303999999999995</v>
      </c>
      <c r="I20" s="19">
        <v>0</v>
      </c>
      <c r="J20" s="19"/>
      <c r="K20" s="19">
        <v>4</v>
      </c>
      <c r="L20" s="19">
        <v>1</v>
      </c>
      <c r="M20" s="20">
        <f t="shared" si="0"/>
        <v>5</v>
      </c>
      <c r="N20" s="42"/>
      <c r="O20" s="38"/>
      <c r="P20" s="172"/>
      <c r="Q20" s="29"/>
    </row>
    <row r="21" spans="1:17" ht="18.75" customHeight="1" x14ac:dyDescent="0.3">
      <c r="A21" s="13"/>
      <c r="B21" s="17" t="s">
        <v>60</v>
      </c>
      <c r="C21" s="15" t="s">
        <v>42</v>
      </c>
      <c r="D21" s="18">
        <v>526.28</v>
      </c>
      <c r="E21" s="47" t="s">
        <v>36</v>
      </c>
      <c r="F21" s="26">
        <f>50%*D18</f>
        <v>56.725000000000001</v>
      </c>
      <c r="G21" s="26">
        <f>5%*D21</f>
        <v>26.314</v>
      </c>
      <c r="H21" s="26">
        <f>SUM(F21:G21)</f>
        <v>83.039000000000001</v>
      </c>
      <c r="I21" s="19">
        <v>0</v>
      </c>
      <c r="J21" s="19"/>
      <c r="K21" s="19"/>
      <c r="L21" s="19">
        <v>4</v>
      </c>
      <c r="M21" s="20">
        <f t="shared" si="0"/>
        <v>4</v>
      </c>
      <c r="N21" s="35"/>
      <c r="O21" s="36"/>
      <c r="P21" s="172"/>
      <c r="Q21" s="29"/>
    </row>
    <row r="22" spans="1:17" ht="18.75" customHeight="1" x14ac:dyDescent="0.3">
      <c r="A22" s="13"/>
      <c r="B22" s="14"/>
      <c r="C22" s="15"/>
      <c r="D22" s="26"/>
      <c r="E22" s="47" t="s">
        <v>37</v>
      </c>
      <c r="F22" s="26">
        <f>43%*D21</f>
        <v>226.3004</v>
      </c>
      <c r="G22" s="26">
        <f>3%*D21</f>
        <v>15.788399999999999</v>
      </c>
      <c r="H22" s="26">
        <f t="shared" ref="H22:H23" si="3">SUM(F22:G22)</f>
        <v>242.08879999999999</v>
      </c>
      <c r="I22" s="19">
        <v>0</v>
      </c>
      <c r="J22" s="19"/>
      <c r="K22" s="19"/>
      <c r="L22" s="19">
        <v>4</v>
      </c>
      <c r="M22" s="20">
        <f t="shared" si="0"/>
        <v>4</v>
      </c>
      <c r="N22" s="35"/>
      <c r="O22" s="36"/>
      <c r="P22" s="172"/>
      <c r="Q22" s="29"/>
    </row>
    <row r="23" spans="1:17" ht="18.75" customHeight="1" x14ac:dyDescent="0.3">
      <c r="A23" s="13"/>
      <c r="B23" s="14"/>
      <c r="C23" s="15"/>
      <c r="D23" s="26"/>
      <c r="E23" s="47" t="s">
        <v>38</v>
      </c>
      <c r="F23" s="26">
        <f>2%*D21</f>
        <v>10.525599999999999</v>
      </c>
      <c r="G23" s="26">
        <f>35%*D21</f>
        <v>184.19799999999998</v>
      </c>
      <c r="H23" s="26">
        <f t="shared" si="3"/>
        <v>194.72359999999998</v>
      </c>
      <c r="I23" s="19">
        <v>0</v>
      </c>
      <c r="J23" s="19"/>
      <c r="K23" s="19"/>
      <c r="L23" s="19">
        <v>3</v>
      </c>
      <c r="M23" s="20">
        <f t="shared" si="0"/>
        <v>3</v>
      </c>
      <c r="N23" s="80"/>
      <c r="O23" s="81"/>
      <c r="P23" s="172"/>
      <c r="Q23" s="88"/>
    </row>
    <row r="24" spans="1:17" ht="18.75" customHeight="1" x14ac:dyDescent="0.3">
      <c r="A24" s="89"/>
      <c r="B24" s="402" t="s">
        <v>325</v>
      </c>
      <c r="C24" s="403"/>
      <c r="D24" s="73">
        <f>SUM(D9:D17)</f>
        <v>1245.8800000000001</v>
      </c>
      <c r="E24" s="74"/>
      <c r="F24" s="118">
        <f>SUM(F9:F17)</f>
        <v>278.6062</v>
      </c>
      <c r="G24" s="118">
        <f>SUM(G9:G17)</f>
        <v>115.8948</v>
      </c>
      <c r="H24" s="118">
        <f>SUM(H9:H17)</f>
        <v>394.50100000000009</v>
      </c>
      <c r="I24" s="75">
        <f>SUM(I9:I17)</f>
        <v>0</v>
      </c>
      <c r="J24" s="75">
        <f>SUM(J9:J17)</f>
        <v>0</v>
      </c>
      <c r="K24" s="75">
        <f>SUM(K8:K23)</f>
        <v>29</v>
      </c>
      <c r="L24" s="160">
        <f>SUM(L10:L22)</f>
        <v>41</v>
      </c>
      <c r="M24" s="75">
        <f>SUM(M9:M17)</f>
        <v>52</v>
      </c>
      <c r="N24" s="76"/>
      <c r="O24" s="77"/>
      <c r="P24" s="173">
        <f>SUM(P10:P23)</f>
        <v>0</v>
      </c>
      <c r="Q24" s="75"/>
    </row>
    <row r="25" spans="1:17" ht="18.75" customHeight="1" x14ac:dyDescent="0.3">
      <c r="A25" s="63">
        <v>2</v>
      </c>
      <c r="B25" s="64" t="s">
        <v>23</v>
      </c>
      <c r="C25" s="65"/>
      <c r="D25" s="66"/>
      <c r="E25" s="67"/>
      <c r="F25" s="68"/>
      <c r="G25" s="68"/>
      <c r="H25" s="68"/>
      <c r="I25" s="68"/>
      <c r="J25" s="68"/>
      <c r="K25" s="68"/>
      <c r="L25" s="68"/>
      <c r="M25" s="68"/>
      <c r="N25" s="69"/>
      <c r="O25" s="70"/>
      <c r="P25" s="70"/>
      <c r="Q25" s="68"/>
    </row>
    <row r="26" spans="1:17" ht="18.75" customHeight="1" x14ac:dyDescent="0.3">
      <c r="A26" s="13"/>
      <c r="B26" s="14" t="s">
        <v>57</v>
      </c>
      <c r="C26" s="15" t="s">
        <v>22</v>
      </c>
      <c r="D26" s="26">
        <v>202.18</v>
      </c>
      <c r="E26" s="47" t="s">
        <v>40</v>
      </c>
      <c r="F26" s="19">
        <v>0</v>
      </c>
      <c r="G26" s="19">
        <f>2%*D26</f>
        <v>4.0436000000000005</v>
      </c>
      <c r="H26" s="19">
        <f t="shared" ref="H26" si="4">SUM(F26:G26)</f>
        <v>4.0436000000000005</v>
      </c>
      <c r="I26" s="19">
        <v>0</v>
      </c>
      <c r="J26" s="19">
        <v>0</v>
      </c>
      <c r="K26" s="19">
        <v>0</v>
      </c>
      <c r="L26" s="19">
        <v>2</v>
      </c>
      <c r="M26" s="20">
        <f t="shared" ref="M26:M27" si="5">SUM(I26:L26)</f>
        <v>2</v>
      </c>
      <c r="N26" s="37" t="s">
        <v>51</v>
      </c>
      <c r="O26" s="404" t="s">
        <v>279</v>
      </c>
      <c r="P26" s="151"/>
      <c r="Q26" s="16"/>
    </row>
    <row r="27" spans="1:17" ht="18.75" customHeight="1" x14ac:dyDescent="0.3">
      <c r="A27" s="54"/>
      <c r="B27" s="55"/>
      <c r="C27" s="56"/>
      <c r="D27" s="57"/>
      <c r="E27" s="85" t="s">
        <v>251</v>
      </c>
      <c r="F27" s="79"/>
      <c r="G27" s="79">
        <f>1.25%*D26</f>
        <v>2.5272500000000004</v>
      </c>
      <c r="H27" s="79"/>
      <c r="I27" s="19">
        <v>0</v>
      </c>
      <c r="J27" s="19">
        <v>0</v>
      </c>
      <c r="K27" s="19">
        <v>0</v>
      </c>
      <c r="L27" s="19">
        <v>0</v>
      </c>
      <c r="M27" s="20">
        <f t="shared" si="5"/>
        <v>0</v>
      </c>
      <c r="N27" s="37"/>
      <c r="O27" s="404"/>
      <c r="P27" s="151"/>
      <c r="Q27" s="16"/>
    </row>
    <row r="28" spans="1:17" ht="18.75" customHeight="1" x14ac:dyDescent="0.3">
      <c r="A28" s="54"/>
      <c r="B28" s="55" t="s">
        <v>58</v>
      </c>
      <c r="C28" s="56" t="s">
        <v>42</v>
      </c>
      <c r="D28" s="57">
        <v>55</v>
      </c>
      <c r="E28" s="47" t="s">
        <v>40</v>
      </c>
      <c r="F28" s="19">
        <v>0</v>
      </c>
      <c r="G28" s="19">
        <f>9%*D28</f>
        <v>4.95</v>
      </c>
      <c r="H28" s="19">
        <f t="shared" ref="H28" si="6">SUM(F28:G28)</f>
        <v>4.95</v>
      </c>
      <c r="I28" s="19">
        <v>0</v>
      </c>
      <c r="J28" s="19"/>
      <c r="K28" s="19">
        <v>0</v>
      </c>
      <c r="L28" s="19">
        <v>0</v>
      </c>
      <c r="M28" s="20">
        <f t="shared" ref="M28:M30" si="7">SUM(I28:L28)</f>
        <v>0</v>
      </c>
      <c r="N28" s="37"/>
      <c r="O28" s="404"/>
      <c r="P28" s="151"/>
      <c r="Q28" s="16"/>
    </row>
    <row r="29" spans="1:17" ht="18.75" customHeight="1" x14ac:dyDescent="0.3">
      <c r="A29" s="54"/>
      <c r="B29" s="55"/>
      <c r="C29" s="56"/>
      <c r="D29" s="57"/>
      <c r="E29" s="85" t="s">
        <v>250</v>
      </c>
      <c r="F29" s="79"/>
      <c r="G29" s="79">
        <f>1.25%*D28</f>
        <v>0.6875</v>
      </c>
      <c r="H29" s="79"/>
      <c r="I29" s="19">
        <v>0</v>
      </c>
      <c r="J29" s="19"/>
      <c r="K29" s="19"/>
      <c r="L29" s="19">
        <v>1</v>
      </c>
      <c r="M29" s="20">
        <f t="shared" si="7"/>
        <v>1</v>
      </c>
      <c r="N29" s="37"/>
      <c r="O29" s="404"/>
      <c r="P29" s="151"/>
      <c r="Q29" s="16"/>
    </row>
    <row r="30" spans="1:17" ht="18.75" customHeight="1" x14ac:dyDescent="0.3">
      <c r="A30" s="54"/>
      <c r="B30" s="55" t="s">
        <v>59</v>
      </c>
      <c r="C30" s="56" t="s">
        <v>21</v>
      </c>
      <c r="D30" s="57">
        <v>66.94</v>
      </c>
      <c r="E30" s="47" t="s">
        <v>40</v>
      </c>
      <c r="F30" s="19">
        <v>0</v>
      </c>
      <c r="G30" s="19">
        <f>6%*D30</f>
        <v>4.0164</v>
      </c>
      <c r="H30" s="19">
        <f t="shared" ref="H30" si="8">SUM(F30:G30)</f>
        <v>4.0164</v>
      </c>
      <c r="I30" s="19">
        <v>0</v>
      </c>
      <c r="J30" s="19">
        <v>0</v>
      </c>
      <c r="K30" s="19">
        <v>0</v>
      </c>
      <c r="L30" s="19">
        <v>2</v>
      </c>
      <c r="M30" s="20">
        <f t="shared" si="7"/>
        <v>2</v>
      </c>
      <c r="N30" s="95"/>
      <c r="O30" s="399"/>
      <c r="P30" s="149"/>
      <c r="Q30" s="87"/>
    </row>
    <row r="31" spans="1:17" ht="18.75" customHeight="1" x14ac:dyDescent="0.3">
      <c r="A31" s="89"/>
      <c r="B31" s="402" t="s">
        <v>326</v>
      </c>
      <c r="C31" s="403"/>
      <c r="D31" s="73">
        <f>SUM(D25:D30)</f>
        <v>324.12</v>
      </c>
      <c r="E31" s="74"/>
      <c r="F31" s="83">
        <f t="shared" ref="F31:K31" si="9">SUM(F25:F30)</f>
        <v>0</v>
      </c>
      <c r="G31" s="83">
        <f t="shared" si="9"/>
        <v>16.22475</v>
      </c>
      <c r="H31" s="83">
        <f t="shared" si="9"/>
        <v>13.010000000000002</v>
      </c>
      <c r="I31" s="83">
        <f t="shared" si="9"/>
        <v>0</v>
      </c>
      <c r="J31" s="83">
        <f t="shared" si="9"/>
        <v>0</v>
      </c>
      <c r="K31" s="83">
        <f t="shared" si="9"/>
        <v>0</v>
      </c>
      <c r="L31" s="83">
        <f>SUM(L26:L30)</f>
        <v>5</v>
      </c>
      <c r="M31" s="83">
        <f>SUM(M25:M30)</f>
        <v>5</v>
      </c>
      <c r="N31" s="76"/>
      <c r="O31" s="77"/>
      <c r="P31" s="77"/>
      <c r="Q31" s="75"/>
    </row>
    <row r="32" spans="1:17" ht="18.75" customHeight="1" x14ac:dyDescent="0.3">
      <c r="A32" s="63">
        <v>3</v>
      </c>
      <c r="B32" s="64" t="s">
        <v>19</v>
      </c>
      <c r="C32" s="65"/>
      <c r="D32" s="66"/>
      <c r="E32" s="67"/>
      <c r="F32" s="82"/>
      <c r="G32" s="82"/>
      <c r="H32" s="82"/>
      <c r="I32" s="82"/>
      <c r="J32" s="82"/>
      <c r="K32" s="82"/>
      <c r="L32" s="82"/>
      <c r="M32" s="82"/>
      <c r="N32" s="69"/>
      <c r="O32" s="70"/>
      <c r="P32" s="70"/>
      <c r="Q32" s="68"/>
    </row>
    <row r="33" spans="1:17" ht="15.75" customHeight="1" x14ac:dyDescent="0.3">
      <c r="A33" s="13"/>
      <c r="B33" s="14" t="s">
        <v>57</v>
      </c>
      <c r="C33" s="15" t="s">
        <v>24</v>
      </c>
      <c r="D33" s="26">
        <f>1372.4+494</f>
        <v>1866.4</v>
      </c>
      <c r="E33" s="50" t="s">
        <v>52</v>
      </c>
      <c r="F33" s="19">
        <v>0</v>
      </c>
      <c r="G33" s="26">
        <f>20%*D33</f>
        <v>373.28000000000003</v>
      </c>
      <c r="H33" s="26">
        <f>SUM(F33:G33)</f>
        <v>373.28000000000003</v>
      </c>
      <c r="I33" s="19">
        <v>0</v>
      </c>
      <c r="J33" s="19"/>
      <c r="K33" s="19">
        <v>0</v>
      </c>
      <c r="L33" s="19">
        <v>0</v>
      </c>
      <c r="M33" s="19">
        <f>SUM(I33:L33)</f>
        <v>0</v>
      </c>
      <c r="N33" s="35" t="s">
        <v>262</v>
      </c>
      <c r="O33" s="36"/>
      <c r="P33" s="161">
        <f t="shared" ref="P33:P62" si="10">G33*0.815*26%*4000000</f>
        <v>316392128</v>
      </c>
      <c r="Q33" s="16"/>
    </row>
    <row r="34" spans="1:17" ht="15" customHeight="1" x14ac:dyDescent="0.3">
      <c r="A34" s="13"/>
      <c r="B34" s="14"/>
      <c r="C34" s="15"/>
      <c r="D34" s="26"/>
      <c r="E34" s="47" t="s">
        <v>234</v>
      </c>
      <c r="F34" s="26"/>
      <c r="G34" s="26">
        <f>20%*D33</f>
        <v>373.28000000000003</v>
      </c>
      <c r="H34" s="26">
        <f>F34+G34</f>
        <v>373.28000000000003</v>
      </c>
      <c r="I34" s="19">
        <v>0</v>
      </c>
      <c r="J34" s="19"/>
      <c r="K34" s="19">
        <v>0</v>
      </c>
      <c r="L34" s="19">
        <v>4</v>
      </c>
      <c r="M34" s="19">
        <f>SUM(I34:L34)</f>
        <v>4</v>
      </c>
      <c r="N34" s="35" t="s">
        <v>263</v>
      </c>
      <c r="O34" s="36"/>
      <c r="P34" s="161">
        <f t="shared" si="10"/>
        <v>316392128</v>
      </c>
      <c r="Q34" s="16"/>
    </row>
    <row r="35" spans="1:17" ht="18.75" customHeight="1" x14ac:dyDescent="0.3">
      <c r="A35" s="13"/>
      <c r="B35" s="14" t="s">
        <v>58</v>
      </c>
      <c r="C35" s="15" t="s">
        <v>25</v>
      </c>
      <c r="D35" s="26">
        <f>994.7+363.2</f>
        <v>1357.9</v>
      </c>
      <c r="E35" s="50" t="s">
        <v>52</v>
      </c>
      <c r="F35" s="19">
        <v>0</v>
      </c>
      <c r="G35" s="26">
        <f>10%*D35</f>
        <v>135.79000000000002</v>
      </c>
      <c r="H35" s="26">
        <f t="shared" ref="H35:H61" si="11">SUM(F35:G35)</f>
        <v>135.79000000000002</v>
      </c>
      <c r="I35" s="19">
        <v>0</v>
      </c>
      <c r="J35" s="19"/>
      <c r="K35" s="19">
        <v>0</v>
      </c>
      <c r="L35" s="19">
        <v>0</v>
      </c>
      <c r="M35" s="19">
        <f t="shared" ref="M35:M62" si="12">SUM(I35:L35)</f>
        <v>0</v>
      </c>
      <c r="N35" s="35" t="s">
        <v>264</v>
      </c>
      <c r="O35" s="36"/>
      <c r="P35" s="161">
        <f t="shared" si="10"/>
        <v>115095604.00000001</v>
      </c>
      <c r="Q35" s="16"/>
    </row>
    <row r="36" spans="1:17" ht="17.25" customHeight="1" x14ac:dyDescent="0.3">
      <c r="A36" s="13"/>
      <c r="B36" s="14" t="s">
        <v>59</v>
      </c>
      <c r="C36" s="15" t="s">
        <v>26</v>
      </c>
      <c r="D36" s="26">
        <f>976.5+338</f>
        <v>1314.5</v>
      </c>
      <c r="E36" s="50" t="s">
        <v>52</v>
      </c>
      <c r="F36" s="19">
        <v>0</v>
      </c>
      <c r="G36" s="26">
        <f>20%*D36</f>
        <v>262.90000000000003</v>
      </c>
      <c r="H36" s="26">
        <f t="shared" si="11"/>
        <v>262.90000000000003</v>
      </c>
      <c r="I36" s="19"/>
      <c r="J36" s="19"/>
      <c r="K36" s="19">
        <v>0</v>
      </c>
      <c r="L36" s="19">
        <v>5</v>
      </c>
      <c r="M36" s="19">
        <f t="shared" si="12"/>
        <v>5</v>
      </c>
      <c r="N36" s="35" t="s">
        <v>265</v>
      </c>
      <c r="O36" s="36" t="s">
        <v>266</v>
      </c>
      <c r="P36" s="161">
        <f t="shared" si="10"/>
        <v>222834040.00000003</v>
      </c>
      <c r="Q36" s="16"/>
    </row>
    <row r="37" spans="1:17" ht="15" customHeight="1" x14ac:dyDescent="0.3">
      <c r="A37" s="13"/>
      <c r="B37" s="14" t="s">
        <v>60</v>
      </c>
      <c r="C37" s="15" t="s">
        <v>55</v>
      </c>
      <c r="D37" s="26">
        <f>291.6+46.93</f>
        <v>338.53000000000003</v>
      </c>
      <c r="E37" s="50" t="s">
        <v>52</v>
      </c>
      <c r="F37" s="19">
        <v>0</v>
      </c>
      <c r="G37" s="26">
        <f>25%*D37</f>
        <v>84.632500000000007</v>
      </c>
      <c r="H37" s="26">
        <f t="shared" si="11"/>
        <v>84.632500000000007</v>
      </c>
      <c r="I37" s="19">
        <v>0</v>
      </c>
      <c r="J37" s="19">
        <v>0</v>
      </c>
      <c r="K37" s="19">
        <v>0</v>
      </c>
      <c r="L37" s="19">
        <v>0</v>
      </c>
      <c r="M37" s="19">
        <f t="shared" si="12"/>
        <v>0</v>
      </c>
      <c r="N37" s="35"/>
      <c r="O37" s="36" t="s">
        <v>267</v>
      </c>
      <c r="P37" s="161">
        <f t="shared" si="10"/>
        <v>71734507.000000015</v>
      </c>
      <c r="Q37" s="16"/>
    </row>
    <row r="38" spans="1:17" ht="18.75" customHeight="1" x14ac:dyDescent="0.3">
      <c r="A38" s="13"/>
      <c r="B38" s="14"/>
      <c r="C38" s="15"/>
      <c r="D38" s="26"/>
      <c r="E38" s="47" t="s">
        <v>235</v>
      </c>
      <c r="F38" s="26">
        <f>4%*D37</f>
        <v>13.541200000000002</v>
      </c>
      <c r="G38" s="26">
        <f>10%*D37</f>
        <v>33.853000000000002</v>
      </c>
      <c r="H38" s="26">
        <f>SUM(F38:G38)</f>
        <v>47.394200000000005</v>
      </c>
      <c r="I38" s="19"/>
      <c r="J38" s="19"/>
      <c r="K38" s="19"/>
      <c r="L38" s="19">
        <v>5</v>
      </c>
      <c r="M38" s="19">
        <f>SUM(I38:L38)</f>
        <v>5</v>
      </c>
      <c r="N38" s="35"/>
      <c r="O38" s="36" t="s">
        <v>268</v>
      </c>
      <c r="P38" s="161">
        <f t="shared" si="10"/>
        <v>28693802.800000001</v>
      </c>
      <c r="Q38" s="16"/>
    </row>
    <row r="39" spans="1:17" ht="15" customHeight="1" x14ac:dyDescent="0.3">
      <c r="A39" s="13"/>
      <c r="B39" s="14"/>
      <c r="C39" s="15"/>
      <c r="D39" s="26"/>
      <c r="E39" s="47" t="s">
        <v>234</v>
      </c>
      <c r="F39" s="26"/>
      <c r="G39" s="26">
        <f>21%*D37</f>
        <v>71.091300000000004</v>
      </c>
      <c r="H39" s="26">
        <f>F39+G39</f>
        <v>71.091300000000004</v>
      </c>
      <c r="I39" s="19"/>
      <c r="J39" s="19"/>
      <c r="K39" s="19"/>
      <c r="L39" s="19"/>
      <c r="M39" s="19"/>
      <c r="N39" s="35"/>
      <c r="O39" s="36" t="s">
        <v>269</v>
      </c>
      <c r="P39" s="161">
        <f t="shared" si="10"/>
        <v>60256985.879999995</v>
      </c>
      <c r="Q39" s="16"/>
    </row>
    <row r="40" spans="1:17" ht="14.25" customHeight="1" x14ac:dyDescent="0.3">
      <c r="A40" s="13"/>
      <c r="B40" s="14" t="s">
        <v>61</v>
      </c>
      <c r="C40" s="15" t="s">
        <v>27</v>
      </c>
      <c r="D40" s="26">
        <f>831.5+161.25</f>
        <v>992.75</v>
      </c>
      <c r="E40" s="50" t="s">
        <v>52</v>
      </c>
      <c r="F40" s="19">
        <v>0</v>
      </c>
      <c r="G40" s="26">
        <f>20%*D40</f>
        <v>198.55</v>
      </c>
      <c r="H40" s="26">
        <f t="shared" si="11"/>
        <v>198.55</v>
      </c>
      <c r="I40" s="19">
        <v>0</v>
      </c>
      <c r="J40" s="19">
        <v>0</v>
      </c>
      <c r="K40" s="19">
        <v>0</v>
      </c>
      <c r="L40" s="19">
        <v>7</v>
      </c>
      <c r="M40" s="19">
        <f t="shared" si="12"/>
        <v>7</v>
      </c>
      <c r="N40" s="35"/>
      <c r="O40" s="36" t="s">
        <v>270</v>
      </c>
      <c r="P40" s="161">
        <f t="shared" si="10"/>
        <v>168290980.00000003</v>
      </c>
      <c r="Q40" s="16"/>
    </row>
    <row r="41" spans="1:17" ht="15" customHeight="1" x14ac:dyDescent="0.3">
      <c r="A41" s="13"/>
      <c r="B41" s="14" t="s">
        <v>62</v>
      </c>
      <c r="C41" s="15" t="s">
        <v>28</v>
      </c>
      <c r="D41" s="26">
        <f>868+618.6</f>
        <v>1486.6</v>
      </c>
      <c r="E41" s="50" t="s">
        <v>52</v>
      </c>
      <c r="F41" s="19">
        <v>0</v>
      </c>
      <c r="G41" s="26">
        <f>21%*D41</f>
        <v>312.18599999999998</v>
      </c>
      <c r="H41" s="26">
        <f t="shared" si="11"/>
        <v>312.18599999999998</v>
      </c>
      <c r="I41" s="19">
        <v>0</v>
      </c>
      <c r="J41" s="19">
        <v>0</v>
      </c>
      <c r="K41" s="19">
        <v>5</v>
      </c>
      <c r="L41" s="19">
        <v>5</v>
      </c>
      <c r="M41" s="19">
        <f t="shared" si="12"/>
        <v>10</v>
      </c>
      <c r="N41" s="35"/>
      <c r="O41" s="36"/>
      <c r="P41" s="161">
        <f t="shared" si="10"/>
        <v>264608853.59999996</v>
      </c>
      <c r="Q41" s="16"/>
    </row>
    <row r="42" spans="1:17" ht="15" customHeight="1" x14ac:dyDescent="0.3">
      <c r="A42" s="13"/>
      <c r="B42" s="14" t="s">
        <v>63</v>
      </c>
      <c r="C42" s="15" t="s">
        <v>29</v>
      </c>
      <c r="D42" s="26">
        <f>1546+278.5</f>
        <v>1824.5</v>
      </c>
      <c r="E42" s="50" t="s">
        <v>52</v>
      </c>
      <c r="F42" s="19">
        <v>0</v>
      </c>
      <c r="G42" s="26">
        <f>21%*D42</f>
        <v>383.14499999999998</v>
      </c>
      <c r="H42" s="26">
        <f t="shared" si="11"/>
        <v>383.14499999999998</v>
      </c>
      <c r="I42" s="19">
        <v>0</v>
      </c>
      <c r="J42" s="19">
        <v>0</v>
      </c>
      <c r="K42" s="19">
        <v>0</v>
      </c>
      <c r="L42" s="19">
        <v>0</v>
      </c>
      <c r="M42" s="19">
        <f t="shared" si="12"/>
        <v>0</v>
      </c>
      <c r="N42" s="35"/>
      <c r="O42" s="36"/>
      <c r="P42" s="161">
        <f t="shared" si="10"/>
        <v>324753702</v>
      </c>
      <c r="Q42" s="16"/>
    </row>
    <row r="43" spans="1:17" ht="14.25" customHeight="1" x14ac:dyDescent="0.3">
      <c r="A43" s="13"/>
      <c r="B43" s="14" t="s">
        <v>64</v>
      </c>
      <c r="C43" s="15" t="s">
        <v>56</v>
      </c>
      <c r="D43" s="26">
        <f>156.4+34.9</f>
        <v>191.3</v>
      </c>
      <c r="E43" s="50" t="s">
        <v>52</v>
      </c>
      <c r="F43" s="19">
        <v>0</v>
      </c>
      <c r="G43" s="26">
        <f>10%*D43</f>
        <v>19.130000000000003</v>
      </c>
      <c r="H43" s="26">
        <f t="shared" si="11"/>
        <v>19.130000000000003</v>
      </c>
      <c r="I43" s="19">
        <v>0</v>
      </c>
      <c r="J43" s="19"/>
      <c r="K43" s="19"/>
      <c r="L43" s="19">
        <v>0</v>
      </c>
      <c r="M43" s="19">
        <f t="shared" si="12"/>
        <v>0</v>
      </c>
      <c r="N43" s="35"/>
      <c r="O43" s="36"/>
      <c r="P43" s="161">
        <f t="shared" si="10"/>
        <v>16214588.000000002</v>
      </c>
      <c r="Q43" s="16"/>
    </row>
    <row r="44" spans="1:17" ht="15" customHeight="1" x14ac:dyDescent="0.3">
      <c r="A44" s="13"/>
      <c r="B44" s="14" t="s">
        <v>65</v>
      </c>
      <c r="C44" s="15" t="s">
        <v>30</v>
      </c>
      <c r="D44" s="26">
        <f>1499.7+565.1</f>
        <v>2064.8000000000002</v>
      </c>
      <c r="E44" s="50" t="s">
        <v>52</v>
      </c>
      <c r="F44" s="19">
        <v>0</v>
      </c>
      <c r="G44" s="26">
        <f>10%*D44</f>
        <v>206.48000000000002</v>
      </c>
      <c r="H44" s="26">
        <f t="shared" si="11"/>
        <v>206.48000000000002</v>
      </c>
      <c r="I44" s="19">
        <v>0</v>
      </c>
      <c r="J44" s="19">
        <v>0</v>
      </c>
      <c r="K44" s="19">
        <v>0</v>
      </c>
      <c r="L44" s="19">
        <v>0</v>
      </c>
      <c r="M44" s="19">
        <f t="shared" si="12"/>
        <v>0</v>
      </c>
      <c r="N44" s="35"/>
      <c r="O44" s="36"/>
      <c r="P44" s="161">
        <f t="shared" si="10"/>
        <v>175012448</v>
      </c>
      <c r="Q44" s="16"/>
    </row>
    <row r="45" spans="1:17" ht="14.25" customHeight="1" x14ac:dyDescent="0.3">
      <c r="A45" s="13"/>
      <c r="B45" s="14" t="s">
        <v>66</v>
      </c>
      <c r="C45" s="15" t="s">
        <v>31</v>
      </c>
      <c r="D45" s="26">
        <f>1207+389</f>
        <v>1596</v>
      </c>
      <c r="E45" s="50" t="s">
        <v>52</v>
      </c>
      <c r="F45" s="19">
        <v>0</v>
      </c>
      <c r="G45" s="26">
        <f>10%*D45</f>
        <v>159.60000000000002</v>
      </c>
      <c r="H45" s="26">
        <f t="shared" si="11"/>
        <v>159.60000000000002</v>
      </c>
      <c r="I45" s="19">
        <v>0</v>
      </c>
      <c r="J45" s="19">
        <v>0</v>
      </c>
      <c r="K45" s="19">
        <v>0</v>
      </c>
      <c r="L45" s="19">
        <v>0</v>
      </c>
      <c r="M45" s="19">
        <f t="shared" si="12"/>
        <v>0</v>
      </c>
      <c r="N45" s="35"/>
      <c r="O45" s="36"/>
      <c r="P45" s="161">
        <f t="shared" si="10"/>
        <v>135276960.00000003</v>
      </c>
      <c r="Q45" s="16"/>
    </row>
    <row r="46" spans="1:17" ht="13.5" customHeight="1" x14ac:dyDescent="0.3">
      <c r="A46" s="13"/>
      <c r="B46" s="14" t="s">
        <v>67</v>
      </c>
      <c r="C46" s="15" t="s">
        <v>32</v>
      </c>
      <c r="D46" s="26">
        <f>998.9+79.5</f>
        <v>1078.4000000000001</v>
      </c>
      <c r="E46" s="50" t="s">
        <v>52</v>
      </c>
      <c r="F46" s="19">
        <v>0</v>
      </c>
      <c r="G46" s="26">
        <f>15%*D46</f>
        <v>161.76000000000002</v>
      </c>
      <c r="H46" s="26">
        <f t="shared" si="11"/>
        <v>161.76000000000002</v>
      </c>
      <c r="I46" s="19">
        <v>0</v>
      </c>
      <c r="J46" s="19">
        <v>0</v>
      </c>
      <c r="K46" s="19">
        <v>0</v>
      </c>
      <c r="L46" s="19">
        <v>0</v>
      </c>
      <c r="M46" s="19">
        <f t="shared" si="12"/>
        <v>0</v>
      </c>
      <c r="N46" s="35"/>
      <c r="O46" s="36"/>
      <c r="P46" s="161">
        <f t="shared" si="10"/>
        <v>137107776.00000003</v>
      </c>
      <c r="Q46" s="16"/>
    </row>
    <row r="47" spans="1:17" ht="15.75" customHeight="1" x14ac:dyDescent="0.3">
      <c r="A47" s="13"/>
      <c r="B47" s="14" t="s">
        <v>68</v>
      </c>
      <c r="C47" s="15" t="s">
        <v>33</v>
      </c>
      <c r="D47" s="26">
        <f>1304+57.5</f>
        <v>1361.5</v>
      </c>
      <c r="E47" s="50" t="s">
        <v>52</v>
      </c>
      <c r="F47" s="19">
        <v>0</v>
      </c>
      <c r="G47" s="26">
        <f>15%*D47</f>
        <v>204.22499999999999</v>
      </c>
      <c r="H47" s="26">
        <f t="shared" si="11"/>
        <v>204.22499999999999</v>
      </c>
      <c r="I47" s="19">
        <v>0</v>
      </c>
      <c r="J47" s="19"/>
      <c r="K47" s="19">
        <v>0</v>
      </c>
      <c r="L47" s="19">
        <v>0</v>
      </c>
      <c r="M47" s="19">
        <f t="shared" si="12"/>
        <v>0</v>
      </c>
      <c r="N47" s="35"/>
      <c r="O47" s="36"/>
      <c r="P47" s="161">
        <f t="shared" si="10"/>
        <v>173101109.99999997</v>
      </c>
      <c r="Q47" s="16"/>
    </row>
    <row r="48" spans="1:17" ht="14.25" customHeight="1" x14ac:dyDescent="0.3">
      <c r="A48" s="13"/>
      <c r="B48" s="14" t="s">
        <v>69</v>
      </c>
      <c r="C48" s="15" t="s">
        <v>34</v>
      </c>
      <c r="D48" s="26">
        <f>1784.1+362</f>
        <v>2146.1</v>
      </c>
      <c r="E48" s="50" t="s">
        <v>52</v>
      </c>
      <c r="F48" s="19">
        <v>0</v>
      </c>
      <c r="G48" s="26">
        <f>25%*D48</f>
        <v>536.52499999999998</v>
      </c>
      <c r="H48" s="26">
        <f t="shared" si="11"/>
        <v>536.52499999999998</v>
      </c>
      <c r="I48" s="19">
        <v>0</v>
      </c>
      <c r="J48" s="19"/>
      <c r="K48" s="19"/>
      <c r="L48" s="19">
        <v>6</v>
      </c>
      <c r="M48" s="19">
        <f t="shared" si="12"/>
        <v>6</v>
      </c>
      <c r="N48" s="35"/>
      <c r="O48" s="36"/>
      <c r="P48" s="161">
        <f t="shared" si="10"/>
        <v>454758589.99999994</v>
      </c>
      <c r="Q48" s="16"/>
    </row>
    <row r="49" spans="1:17" ht="13.5" customHeight="1" x14ac:dyDescent="0.3">
      <c r="A49" s="13"/>
      <c r="B49" s="14" t="s">
        <v>70</v>
      </c>
      <c r="C49" s="15" t="s">
        <v>35</v>
      </c>
      <c r="D49" s="26">
        <f>1557+181.5</f>
        <v>1738.5</v>
      </c>
      <c r="E49" s="50" t="s">
        <v>52</v>
      </c>
      <c r="F49" s="19">
        <v>0</v>
      </c>
      <c r="G49" s="26">
        <f>20%*D49</f>
        <v>347.70000000000005</v>
      </c>
      <c r="H49" s="26">
        <f t="shared" si="11"/>
        <v>347.70000000000005</v>
      </c>
      <c r="I49" s="19">
        <v>0</v>
      </c>
      <c r="J49" s="19">
        <v>0</v>
      </c>
      <c r="K49" s="19">
        <v>0</v>
      </c>
      <c r="L49" s="19">
        <v>0</v>
      </c>
      <c r="M49" s="19">
        <f t="shared" si="12"/>
        <v>0</v>
      </c>
      <c r="N49" s="35"/>
      <c r="O49" s="36"/>
      <c r="P49" s="161">
        <f t="shared" si="10"/>
        <v>294710520.00000006</v>
      </c>
      <c r="Q49" s="16"/>
    </row>
    <row r="50" spans="1:17" ht="18.75" customHeight="1" x14ac:dyDescent="0.3">
      <c r="A50" s="13"/>
      <c r="B50" s="14" t="s">
        <v>71</v>
      </c>
      <c r="C50" s="15" t="s">
        <v>21</v>
      </c>
      <c r="D50" s="26">
        <f>1940+114</f>
        <v>2054</v>
      </c>
      <c r="E50" s="50" t="s">
        <v>52</v>
      </c>
      <c r="F50" s="19">
        <v>0</v>
      </c>
      <c r="G50" s="26">
        <f>25%*D50</f>
        <v>513.5</v>
      </c>
      <c r="H50" s="26">
        <f t="shared" si="11"/>
        <v>513.5</v>
      </c>
      <c r="I50" s="19">
        <v>0</v>
      </c>
      <c r="J50" s="19">
        <v>0</v>
      </c>
      <c r="K50" s="19">
        <v>0</v>
      </c>
      <c r="L50" s="19">
        <v>0</v>
      </c>
      <c r="M50" s="19">
        <f t="shared" si="12"/>
        <v>0</v>
      </c>
      <c r="N50" s="35"/>
      <c r="O50" s="36"/>
      <c r="P50" s="161">
        <f t="shared" si="10"/>
        <v>435242600.00000006</v>
      </c>
      <c r="Q50" s="16"/>
    </row>
    <row r="51" spans="1:17" ht="14.25" customHeight="1" x14ac:dyDescent="0.3">
      <c r="A51" s="13"/>
      <c r="B51" s="14" t="s">
        <v>72</v>
      </c>
      <c r="C51" s="15" t="s">
        <v>42</v>
      </c>
      <c r="D51" s="26">
        <f>773.1+303.8</f>
        <v>1076.9000000000001</v>
      </c>
      <c r="E51" s="50" t="s">
        <v>52</v>
      </c>
      <c r="F51" s="19">
        <v>0</v>
      </c>
      <c r="G51" s="26">
        <f>25%*D51</f>
        <v>269.22500000000002</v>
      </c>
      <c r="H51" s="26">
        <f t="shared" si="11"/>
        <v>269.22500000000002</v>
      </c>
      <c r="I51" s="19">
        <v>0</v>
      </c>
      <c r="J51" s="19">
        <v>0</v>
      </c>
      <c r="K51" s="19">
        <v>0</v>
      </c>
      <c r="L51" s="19">
        <v>4</v>
      </c>
      <c r="M51" s="19">
        <f t="shared" si="12"/>
        <v>4</v>
      </c>
      <c r="N51" s="35"/>
      <c r="O51" s="36"/>
      <c r="P51" s="161">
        <f t="shared" si="10"/>
        <v>228195110</v>
      </c>
      <c r="Q51" s="16"/>
    </row>
    <row r="52" spans="1:17" ht="18" customHeight="1" x14ac:dyDescent="0.3">
      <c r="A52" s="13"/>
      <c r="B52" s="14" t="s">
        <v>73</v>
      </c>
      <c r="C52" s="15" t="s">
        <v>105</v>
      </c>
      <c r="D52" s="26">
        <f>153.8+8.7</f>
        <v>162.5</v>
      </c>
      <c r="E52" s="50" t="s">
        <v>52</v>
      </c>
      <c r="F52" s="19">
        <v>0</v>
      </c>
      <c r="G52" s="26">
        <f>20%*D52</f>
        <v>32.5</v>
      </c>
      <c r="H52" s="26">
        <f t="shared" si="11"/>
        <v>32.5</v>
      </c>
      <c r="I52" s="19">
        <v>0</v>
      </c>
      <c r="J52" s="19">
        <v>0</v>
      </c>
      <c r="K52" s="19">
        <v>0</v>
      </c>
      <c r="L52" s="19">
        <v>4</v>
      </c>
      <c r="M52" s="19">
        <f t="shared" si="12"/>
        <v>4</v>
      </c>
      <c r="N52" s="35"/>
      <c r="O52" s="36"/>
      <c r="P52" s="161">
        <f t="shared" si="10"/>
        <v>27546999.999999996</v>
      </c>
      <c r="Q52" s="16"/>
    </row>
    <row r="53" spans="1:17" ht="16.5" customHeight="1" x14ac:dyDescent="0.3">
      <c r="A53" s="13"/>
      <c r="B53" s="14" t="s">
        <v>74</v>
      </c>
      <c r="C53" s="15" t="s">
        <v>110</v>
      </c>
      <c r="D53" s="26">
        <f>695+48.2</f>
        <v>743.2</v>
      </c>
      <c r="E53" s="50" t="s">
        <v>52</v>
      </c>
      <c r="F53" s="19">
        <v>0</v>
      </c>
      <c r="G53" s="26">
        <f>15%*D53</f>
        <v>111.48</v>
      </c>
      <c r="H53" s="26">
        <f t="shared" si="11"/>
        <v>111.48</v>
      </c>
      <c r="I53" s="19">
        <v>0</v>
      </c>
      <c r="J53" s="19">
        <v>0</v>
      </c>
      <c r="K53" s="19">
        <v>0</v>
      </c>
      <c r="L53" s="19">
        <v>0</v>
      </c>
      <c r="M53" s="19">
        <f t="shared" si="12"/>
        <v>0</v>
      </c>
      <c r="N53" s="35"/>
      <c r="O53" s="36"/>
      <c r="P53" s="161">
        <f t="shared" si="10"/>
        <v>94490448</v>
      </c>
      <c r="Q53" s="16"/>
    </row>
    <row r="54" spans="1:17" ht="15.75" customHeight="1" x14ac:dyDescent="0.3">
      <c r="A54" s="13"/>
      <c r="B54" s="14" t="s">
        <v>75</v>
      </c>
      <c r="C54" s="15" t="s">
        <v>112</v>
      </c>
      <c r="D54" s="26">
        <f>375+14</f>
        <v>389</v>
      </c>
      <c r="E54" s="50" t="s">
        <v>52</v>
      </c>
      <c r="F54" s="19">
        <v>0</v>
      </c>
      <c r="G54" s="26">
        <f>19%*D54</f>
        <v>73.91</v>
      </c>
      <c r="H54" s="26">
        <f t="shared" si="11"/>
        <v>73.91</v>
      </c>
      <c r="I54" s="19">
        <v>0</v>
      </c>
      <c r="J54" s="19">
        <v>0</v>
      </c>
      <c r="K54" s="19">
        <v>0</v>
      </c>
      <c r="L54" s="19">
        <v>0</v>
      </c>
      <c r="M54" s="19">
        <f t="shared" si="12"/>
        <v>0</v>
      </c>
      <c r="N54" s="35"/>
      <c r="O54" s="36"/>
      <c r="P54" s="161">
        <f t="shared" si="10"/>
        <v>62646115.999999993</v>
      </c>
      <c r="Q54" s="16"/>
    </row>
    <row r="55" spans="1:17" ht="15.75" customHeight="1" x14ac:dyDescent="0.3">
      <c r="A55" s="13"/>
      <c r="B55" s="14" t="s">
        <v>104</v>
      </c>
      <c r="C55" s="15" t="s">
        <v>114</v>
      </c>
      <c r="D55" s="26">
        <f>73.5</f>
        <v>73.5</v>
      </c>
      <c r="E55" s="50" t="s">
        <v>52</v>
      </c>
      <c r="F55" s="19">
        <v>0</v>
      </c>
      <c r="G55" s="26">
        <f>19%*D55</f>
        <v>13.965</v>
      </c>
      <c r="H55" s="26">
        <f t="shared" si="11"/>
        <v>13.965</v>
      </c>
      <c r="I55" s="19">
        <v>0</v>
      </c>
      <c r="J55" s="19">
        <v>0</v>
      </c>
      <c r="K55" s="19">
        <v>0</v>
      </c>
      <c r="L55" s="19">
        <v>0</v>
      </c>
      <c r="M55" s="19">
        <f t="shared" si="12"/>
        <v>0</v>
      </c>
      <c r="N55" s="35"/>
      <c r="O55" s="36"/>
      <c r="P55" s="161">
        <f t="shared" si="10"/>
        <v>11836734</v>
      </c>
      <c r="Q55" s="16"/>
    </row>
    <row r="56" spans="1:17" ht="14.25" customHeight="1" x14ac:dyDescent="0.3">
      <c r="A56" s="13"/>
      <c r="B56" s="14" t="s">
        <v>106</v>
      </c>
      <c r="C56" s="15" t="s">
        <v>22</v>
      </c>
      <c r="D56" s="26">
        <f>1130+101</f>
        <v>1231</v>
      </c>
      <c r="E56" s="50" t="s">
        <v>52</v>
      </c>
      <c r="F56" s="19">
        <v>0</v>
      </c>
      <c r="G56" s="26">
        <f>19%*D56</f>
        <v>233.89000000000001</v>
      </c>
      <c r="H56" s="26">
        <f t="shared" si="11"/>
        <v>233.89000000000001</v>
      </c>
      <c r="I56" s="19">
        <v>0</v>
      </c>
      <c r="J56" s="19">
        <v>0</v>
      </c>
      <c r="K56" s="19">
        <v>4</v>
      </c>
      <c r="L56" s="19">
        <v>0</v>
      </c>
      <c r="M56" s="19">
        <f t="shared" si="12"/>
        <v>4</v>
      </c>
      <c r="N56" s="35"/>
      <c r="O56" s="36"/>
      <c r="P56" s="161">
        <f t="shared" si="10"/>
        <v>198245164.00000003</v>
      </c>
      <c r="Q56" s="16"/>
    </row>
    <row r="57" spans="1:17" ht="15" customHeight="1" x14ac:dyDescent="0.3">
      <c r="A57" s="13"/>
      <c r="B57" s="14" t="s">
        <v>108</v>
      </c>
      <c r="C57" s="15" t="s">
        <v>180</v>
      </c>
      <c r="D57" s="26">
        <f>134.8+5</f>
        <v>139.80000000000001</v>
      </c>
      <c r="E57" s="47" t="s">
        <v>52</v>
      </c>
      <c r="F57" s="19">
        <v>0</v>
      </c>
      <c r="G57" s="26">
        <f>20%*D57</f>
        <v>27.960000000000004</v>
      </c>
      <c r="H57" s="26">
        <f t="shared" si="11"/>
        <v>27.960000000000004</v>
      </c>
      <c r="I57" s="19">
        <v>0</v>
      </c>
      <c r="J57" s="19">
        <v>0</v>
      </c>
      <c r="K57" s="19">
        <v>0</v>
      </c>
      <c r="L57" s="19">
        <v>0</v>
      </c>
      <c r="M57" s="19">
        <f t="shared" si="12"/>
        <v>0</v>
      </c>
      <c r="N57" s="35"/>
      <c r="O57" s="36"/>
      <c r="P57" s="161">
        <f t="shared" si="10"/>
        <v>23698896</v>
      </c>
      <c r="Q57" s="16"/>
    </row>
    <row r="58" spans="1:17" ht="16.5" customHeight="1" x14ac:dyDescent="0.3">
      <c r="A58" s="13"/>
      <c r="B58" s="14" t="s">
        <v>109</v>
      </c>
      <c r="C58" s="15" t="s">
        <v>43</v>
      </c>
      <c r="D58" s="26">
        <f>1189+216.6</f>
        <v>1405.6</v>
      </c>
      <c r="E58" s="50" t="s">
        <v>52</v>
      </c>
      <c r="F58" s="19">
        <v>0</v>
      </c>
      <c r="G58" s="26">
        <f>20%*D58</f>
        <v>281.12</v>
      </c>
      <c r="H58" s="26">
        <f t="shared" si="11"/>
        <v>281.12</v>
      </c>
      <c r="I58" s="19">
        <v>0</v>
      </c>
      <c r="J58" s="19">
        <v>0</v>
      </c>
      <c r="K58" s="19">
        <v>0</v>
      </c>
      <c r="L58" s="19">
        <v>0</v>
      </c>
      <c r="M58" s="19">
        <f t="shared" si="12"/>
        <v>0</v>
      </c>
      <c r="N58" s="35"/>
      <c r="O58" s="36"/>
      <c r="P58" s="161">
        <f t="shared" si="10"/>
        <v>238277312</v>
      </c>
      <c r="Q58" s="16"/>
    </row>
    <row r="59" spans="1:17" ht="14.25" customHeight="1" x14ac:dyDescent="0.3">
      <c r="A59" s="13"/>
      <c r="B59" s="55" t="s">
        <v>111</v>
      </c>
      <c r="C59" s="56" t="s">
        <v>44</v>
      </c>
      <c r="D59" s="57">
        <f>1396.6+127</f>
        <v>1523.6</v>
      </c>
      <c r="E59" s="78" t="s">
        <v>52</v>
      </c>
      <c r="F59" s="19">
        <v>0</v>
      </c>
      <c r="G59" s="26">
        <f>18%*D59</f>
        <v>274.24799999999999</v>
      </c>
      <c r="H59" s="26">
        <f t="shared" si="11"/>
        <v>274.24799999999999</v>
      </c>
      <c r="I59" s="19">
        <v>0</v>
      </c>
      <c r="J59" s="19">
        <v>0</v>
      </c>
      <c r="K59" s="19">
        <v>0</v>
      </c>
      <c r="L59" s="19">
        <v>10</v>
      </c>
      <c r="M59" s="19">
        <f t="shared" si="12"/>
        <v>10</v>
      </c>
      <c r="N59" s="35"/>
      <c r="O59" s="36"/>
      <c r="P59" s="161">
        <f t="shared" si="10"/>
        <v>232452604.79999998</v>
      </c>
      <c r="Q59" s="16"/>
    </row>
    <row r="60" spans="1:17" ht="14.25" customHeight="1" x14ac:dyDescent="0.3">
      <c r="A60" s="13"/>
      <c r="B60" s="14" t="s">
        <v>74</v>
      </c>
      <c r="C60" s="15" t="s">
        <v>43</v>
      </c>
      <c r="D60" s="26">
        <v>1189</v>
      </c>
      <c r="E60" s="50" t="s">
        <v>52</v>
      </c>
      <c r="F60" s="19">
        <v>0</v>
      </c>
      <c r="G60" s="26">
        <f>19%*D60</f>
        <v>225.91</v>
      </c>
      <c r="H60" s="26">
        <f t="shared" si="11"/>
        <v>225.91</v>
      </c>
      <c r="I60" s="19">
        <v>0</v>
      </c>
      <c r="J60" s="19"/>
      <c r="K60" s="19">
        <v>6</v>
      </c>
      <c r="L60" s="19">
        <v>0</v>
      </c>
      <c r="M60" s="19">
        <f t="shared" si="12"/>
        <v>6</v>
      </c>
      <c r="N60" s="35"/>
      <c r="O60" s="36"/>
      <c r="P60" s="161">
        <f t="shared" si="10"/>
        <v>191481316</v>
      </c>
      <c r="Q60" s="16"/>
    </row>
    <row r="61" spans="1:17" ht="18.75" customHeight="1" x14ac:dyDescent="0.3">
      <c r="A61" s="54"/>
      <c r="B61" s="55" t="s">
        <v>75</v>
      </c>
      <c r="C61" s="56" t="s">
        <v>44</v>
      </c>
      <c r="D61" s="57">
        <v>1391</v>
      </c>
      <c r="E61" s="78" t="s">
        <v>52</v>
      </c>
      <c r="F61" s="19">
        <v>0</v>
      </c>
      <c r="G61" s="26">
        <f>19%*D61</f>
        <v>264.29000000000002</v>
      </c>
      <c r="H61" s="26">
        <f t="shared" si="11"/>
        <v>264.29000000000002</v>
      </c>
      <c r="I61" s="19">
        <v>0</v>
      </c>
      <c r="J61" s="19"/>
      <c r="K61" s="19">
        <v>2</v>
      </c>
      <c r="L61" s="19">
        <v>9</v>
      </c>
      <c r="M61" s="19">
        <f t="shared" si="12"/>
        <v>11</v>
      </c>
      <c r="N61" s="35"/>
      <c r="O61" s="36"/>
      <c r="P61" s="161">
        <f t="shared" si="10"/>
        <v>224012204.00000003</v>
      </c>
      <c r="Q61" s="16"/>
    </row>
    <row r="62" spans="1:17" ht="14.25" customHeight="1" x14ac:dyDescent="0.3">
      <c r="A62" s="141"/>
      <c r="B62" s="117"/>
      <c r="C62" s="116"/>
      <c r="D62" s="109"/>
      <c r="E62" s="110" t="s">
        <v>223</v>
      </c>
      <c r="F62" s="90">
        <f>9%*D61</f>
        <v>125.19</v>
      </c>
      <c r="G62" s="90"/>
      <c r="H62" s="90">
        <f>SUM(F62:G62)</f>
        <v>125.19</v>
      </c>
      <c r="I62" s="19">
        <v>0</v>
      </c>
      <c r="J62" s="19">
        <v>0</v>
      </c>
      <c r="K62" s="19">
        <v>0</v>
      </c>
      <c r="L62" s="19">
        <v>9</v>
      </c>
      <c r="M62" s="19">
        <f t="shared" si="12"/>
        <v>9</v>
      </c>
      <c r="N62" s="80"/>
      <c r="O62" s="81"/>
      <c r="P62" s="161">
        <f t="shared" si="10"/>
        <v>0</v>
      </c>
      <c r="Q62" s="87"/>
    </row>
    <row r="63" spans="1:17" ht="25.5" customHeight="1" x14ac:dyDescent="0.3">
      <c r="A63" s="89"/>
      <c r="B63" s="72" t="s">
        <v>347</v>
      </c>
      <c r="C63" s="72"/>
      <c r="D63" s="84">
        <f>SUM(D33:D61)</f>
        <v>30736.879999999997</v>
      </c>
      <c r="E63" s="74"/>
      <c r="F63" s="83">
        <f>SUM(F40:F62)</f>
        <v>125.19</v>
      </c>
      <c r="G63" s="83">
        <f>SUM(G33:G62)</f>
        <v>6186.1257999999998</v>
      </c>
      <c r="H63" s="83">
        <f>SUM(H33:H62)</f>
        <v>6324.8569999999991</v>
      </c>
      <c r="I63" s="83">
        <f>SUM(I33:I62)</f>
        <v>0</v>
      </c>
      <c r="J63" s="83">
        <f>SUM(J33:J61)</f>
        <v>0</v>
      </c>
      <c r="K63" s="83">
        <f>SUM(K33:K61)</f>
        <v>17</v>
      </c>
      <c r="L63" s="83">
        <f>SUM(L33:L62)</f>
        <v>68</v>
      </c>
      <c r="M63" s="83">
        <f>SUM(M33:M61)</f>
        <v>76</v>
      </c>
      <c r="N63" s="76"/>
      <c r="O63" s="77"/>
      <c r="P63" s="184">
        <f>SUM(P33:P62)</f>
        <v>5243360228.0799999</v>
      </c>
      <c r="Q63" s="75"/>
    </row>
    <row r="64" spans="1:17" ht="18.75" customHeight="1" x14ac:dyDescent="0.3">
      <c r="A64" s="63">
        <v>4</v>
      </c>
      <c r="B64" s="64" t="s">
        <v>46</v>
      </c>
      <c r="C64" s="65"/>
      <c r="D64" s="66"/>
      <c r="E64" s="67"/>
      <c r="F64" s="82"/>
      <c r="G64" s="82"/>
      <c r="H64" s="82"/>
      <c r="I64" s="82"/>
      <c r="J64" s="82"/>
      <c r="K64" s="82"/>
      <c r="L64" s="82"/>
      <c r="M64" s="82"/>
      <c r="N64" s="69"/>
      <c r="O64" s="70"/>
      <c r="P64" s="70"/>
      <c r="Q64" s="68"/>
    </row>
    <row r="65" spans="1:17" ht="25.5" customHeight="1" x14ac:dyDescent="0.3">
      <c r="A65" s="102"/>
      <c r="B65" s="98" t="s">
        <v>57</v>
      </c>
      <c r="C65" s="99" t="s">
        <v>29</v>
      </c>
      <c r="D65" s="96">
        <v>175</v>
      </c>
      <c r="E65" s="101" t="s">
        <v>233</v>
      </c>
      <c r="F65" s="96"/>
      <c r="G65" s="96">
        <f>18%*D65</f>
        <v>31.5</v>
      </c>
      <c r="H65" s="96">
        <f>SUM(F65:G65)</f>
        <v>31.5</v>
      </c>
      <c r="I65" s="97">
        <v>0</v>
      </c>
      <c r="J65" s="97"/>
      <c r="K65" s="97">
        <v>0</v>
      </c>
      <c r="L65" s="97">
        <v>2</v>
      </c>
      <c r="M65" s="97">
        <f t="shared" ref="M65:M72" si="13">SUM(I65:L65)</f>
        <v>2</v>
      </c>
      <c r="N65" s="35" t="s">
        <v>51</v>
      </c>
      <c r="O65" s="36" t="s">
        <v>229</v>
      </c>
      <c r="P65" s="161">
        <f>G65*1.036*20%*6000000</f>
        <v>39160800</v>
      </c>
      <c r="Q65" s="16"/>
    </row>
    <row r="66" spans="1:17" ht="21.75" customHeight="1" x14ac:dyDescent="0.3">
      <c r="A66" s="13"/>
      <c r="B66" s="14" t="s">
        <v>58</v>
      </c>
      <c r="C66" s="15" t="s">
        <v>33</v>
      </c>
      <c r="D66" s="26">
        <v>368</v>
      </c>
      <c r="E66" s="47" t="s">
        <v>185</v>
      </c>
      <c r="F66" s="26">
        <f>0%*D66</f>
        <v>0</v>
      </c>
      <c r="G66" s="26">
        <f>18%*D66</f>
        <v>66.239999999999995</v>
      </c>
      <c r="H66" s="26">
        <f t="shared" ref="H66:H72" si="14">SUM(F66:G66)</f>
        <v>66.239999999999995</v>
      </c>
      <c r="I66" s="19">
        <v>0</v>
      </c>
      <c r="J66" s="19"/>
      <c r="K66" s="19">
        <v>0</v>
      </c>
      <c r="L66" s="19">
        <v>3</v>
      </c>
      <c r="M66" s="19">
        <f t="shared" si="13"/>
        <v>3</v>
      </c>
      <c r="N66" s="35" t="s">
        <v>51</v>
      </c>
      <c r="O66" s="36" t="s">
        <v>138</v>
      </c>
      <c r="P66" s="161">
        <f>G66*1.036*50%*6000000</f>
        <v>205873920</v>
      </c>
      <c r="Q66" s="16"/>
    </row>
    <row r="67" spans="1:17" ht="22.5" customHeight="1" x14ac:dyDescent="0.3">
      <c r="A67" s="13"/>
      <c r="B67" s="98" t="s">
        <v>59</v>
      </c>
      <c r="C67" s="99" t="s">
        <v>42</v>
      </c>
      <c r="D67" s="96">
        <v>774.98</v>
      </c>
      <c r="E67" s="101" t="s">
        <v>233</v>
      </c>
      <c r="F67" s="96">
        <f>0%*D67</f>
        <v>0</v>
      </c>
      <c r="G67" s="97">
        <f>13%*D67</f>
        <v>100.7474</v>
      </c>
      <c r="H67" s="96">
        <f t="shared" si="14"/>
        <v>100.7474</v>
      </c>
      <c r="I67" s="97">
        <v>0</v>
      </c>
      <c r="J67" s="97"/>
      <c r="K67" s="97">
        <v>0</v>
      </c>
      <c r="L67" s="97">
        <v>0</v>
      </c>
      <c r="M67" s="97">
        <f t="shared" si="13"/>
        <v>0</v>
      </c>
      <c r="N67" s="35"/>
      <c r="O67" s="36"/>
      <c r="P67" s="161">
        <f t="shared" ref="P67:P72" si="15">G67*1.036*20%*6000000</f>
        <v>125249167.68000002</v>
      </c>
      <c r="Q67" s="16"/>
    </row>
    <row r="68" spans="1:17" ht="25.5" customHeight="1" x14ac:dyDescent="0.3">
      <c r="A68" s="13"/>
      <c r="B68" s="98" t="s">
        <v>60</v>
      </c>
      <c r="C68" s="99" t="s">
        <v>21</v>
      </c>
      <c r="D68" s="96">
        <v>942.55</v>
      </c>
      <c r="E68" s="101" t="s">
        <v>186</v>
      </c>
      <c r="F68" s="96">
        <f>1%*D68</f>
        <v>9.4254999999999995</v>
      </c>
      <c r="G68" s="97">
        <f>7%*D68</f>
        <v>65.978499999999997</v>
      </c>
      <c r="H68" s="96">
        <f t="shared" si="14"/>
        <v>75.403999999999996</v>
      </c>
      <c r="I68" s="97">
        <v>0</v>
      </c>
      <c r="J68" s="97"/>
      <c r="K68" s="97">
        <v>0</v>
      </c>
      <c r="L68" s="97">
        <v>0</v>
      </c>
      <c r="M68" s="97">
        <f t="shared" si="13"/>
        <v>0</v>
      </c>
      <c r="N68" s="35"/>
      <c r="O68" s="36"/>
      <c r="P68" s="161">
        <f t="shared" si="15"/>
        <v>82024471.199999988</v>
      </c>
      <c r="Q68" s="16"/>
    </row>
    <row r="69" spans="1:17" ht="22.5" customHeight="1" x14ac:dyDescent="0.3">
      <c r="A69" s="13"/>
      <c r="B69" s="98"/>
      <c r="C69" s="99"/>
      <c r="D69" s="96"/>
      <c r="E69" s="101" t="s">
        <v>233</v>
      </c>
      <c r="F69" s="96"/>
      <c r="G69" s="96">
        <f>7%*D68</f>
        <v>65.978499999999997</v>
      </c>
      <c r="H69" s="96">
        <f>SUM(F69:G69)</f>
        <v>65.978499999999997</v>
      </c>
      <c r="I69" s="19">
        <v>0</v>
      </c>
      <c r="J69" s="19">
        <v>0</v>
      </c>
      <c r="K69" s="19">
        <v>0</v>
      </c>
      <c r="L69" s="19">
        <v>0</v>
      </c>
      <c r="M69" s="19">
        <f t="shared" si="13"/>
        <v>0</v>
      </c>
      <c r="N69" s="35"/>
      <c r="O69" s="36"/>
      <c r="P69" s="161">
        <f t="shared" si="15"/>
        <v>82024471.199999988</v>
      </c>
      <c r="Q69" s="16"/>
    </row>
    <row r="70" spans="1:17" ht="24" customHeight="1" x14ac:dyDescent="0.3">
      <c r="A70" s="16"/>
      <c r="B70" s="14" t="s">
        <v>61</v>
      </c>
      <c r="C70" s="15" t="s">
        <v>22</v>
      </c>
      <c r="D70" s="26">
        <v>1233.55</v>
      </c>
      <c r="E70" s="101" t="s">
        <v>233</v>
      </c>
      <c r="F70" s="26">
        <f>0%*D70</f>
        <v>0</v>
      </c>
      <c r="G70" s="19">
        <f>7%*D70</f>
        <v>86.348500000000001</v>
      </c>
      <c r="H70" s="26">
        <f t="shared" si="14"/>
        <v>86.348500000000001</v>
      </c>
      <c r="I70" s="19">
        <v>0</v>
      </c>
      <c r="J70" s="19"/>
      <c r="K70" s="19">
        <v>0</v>
      </c>
      <c r="L70" s="19">
        <v>1</v>
      </c>
      <c r="M70" s="19">
        <f t="shared" si="13"/>
        <v>1</v>
      </c>
      <c r="N70" s="35"/>
      <c r="O70" s="36"/>
      <c r="P70" s="161">
        <f t="shared" si="15"/>
        <v>107348455.20000002</v>
      </c>
      <c r="Q70" s="16"/>
    </row>
    <row r="71" spans="1:17" ht="21" customHeight="1" x14ac:dyDescent="0.3">
      <c r="A71" s="87"/>
      <c r="B71" s="55" t="s">
        <v>62</v>
      </c>
      <c r="C71" s="56" t="s">
        <v>43</v>
      </c>
      <c r="D71" s="57">
        <v>133</v>
      </c>
      <c r="E71" s="101" t="s">
        <v>233</v>
      </c>
      <c r="F71" s="26">
        <f>0%*D71</f>
        <v>0</v>
      </c>
      <c r="G71" s="19">
        <f>4%*D71</f>
        <v>5.32</v>
      </c>
      <c r="H71" s="26">
        <f t="shared" si="14"/>
        <v>5.32</v>
      </c>
      <c r="I71" s="19">
        <v>0</v>
      </c>
      <c r="J71" s="19"/>
      <c r="K71" s="19">
        <v>0</v>
      </c>
      <c r="L71" s="19">
        <v>2</v>
      </c>
      <c r="M71" s="19">
        <f t="shared" si="13"/>
        <v>2</v>
      </c>
      <c r="N71" s="35"/>
      <c r="O71" s="36"/>
      <c r="P71" s="161">
        <f t="shared" si="15"/>
        <v>6613824.0000000009</v>
      </c>
      <c r="Q71" s="16"/>
    </row>
    <row r="72" spans="1:17" ht="27.75" customHeight="1" x14ac:dyDescent="0.3">
      <c r="A72" s="16"/>
      <c r="B72" s="14" t="s">
        <v>63</v>
      </c>
      <c r="C72" s="15" t="s">
        <v>32</v>
      </c>
      <c r="D72" s="26">
        <v>298.5</v>
      </c>
      <c r="E72" s="101" t="s">
        <v>236</v>
      </c>
      <c r="F72" s="26">
        <f>0%*D72</f>
        <v>0</v>
      </c>
      <c r="G72" s="19">
        <f>3%*D72</f>
        <v>8.9550000000000001</v>
      </c>
      <c r="H72" s="26">
        <f t="shared" si="14"/>
        <v>8.9550000000000001</v>
      </c>
      <c r="I72" s="135">
        <v>0</v>
      </c>
      <c r="J72" s="135"/>
      <c r="K72" s="135">
        <v>0</v>
      </c>
      <c r="L72" s="135">
        <v>5</v>
      </c>
      <c r="M72" s="135">
        <f t="shared" si="13"/>
        <v>5</v>
      </c>
      <c r="N72" s="80"/>
      <c r="O72" s="81"/>
      <c r="P72" s="161">
        <f t="shared" si="15"/>
        <v>11132856.000000002</v>
      </c>
      <c r="Q72" s="87"/>
    </row>
    <row r="73" spans="1:17" ht="18.75" customHeight="1" x14ac:dyDescent="0.3">
      <c r="A73" s="75"/>
      <c r="B73" s="72" t="s">
        <v>348</v>
      </c>
      <c r="C73" s="72"/>
      <c r="D73" s="73">
        <f>SUM(D65:D72)</f>
        <v>3925.58</v>
      </c>
      <c r="E73" s="74"/>
      <c r="F73" s="73">
        <f t="shared" ref="F73:K73" si="16">SUM(F65:F72)</f>
        <v>9.4254999999999995</v>
      </c>
      <c r="G73" s="83">
        <f t="shared" si="16"/>
        <v>431.06789999999995</v>
      </c>
      <c r="H73" s="73">
        <f t="shared" si="16"/>
        <v>440.49339999999995</v>
      </c>
      <c r="I73" s="83">
        <f t="shared" si="16"/>
        <v>0</v>
      </c>
      <c r="J73" s="83">
        <f t="shared" si="16"/>
        <v>0</v>
      </c>
      <c r="K73" s="83">
        <f t="shared" si="16"/>
        <v>0</v>
      </c>
      <c r="L73" s="83">
        <f>SUM(L64:L72)</f>
        <v>13</v>
      </c>
      <c r="M73" s="83">
        <f>SUM(M65:M72)</f>
        <v>13</v>
      </c>
      <c r="N73" s="76"/>
      <c r="O73" s="77"/>
      <c r="P73" s="162">
        <f>SUM(P65:P72)</f>
        <v>659427965.27999997</v>
      </c>
      <c r="Q73" s="75"/>
    </row>
    <row r="74" spans="1:17" ht="16.5" customHeight="1" x14ac:dyDescent="0.3">
      <c r="A74" s="63">
        <v>5</v>
      </c>
      <c r="B74" s="64" t="s">
        <v>96</v>
      </c>
      <c r="C74" s="65"/>
      <c r="D74" s="66"/>
      <c r="E74" s="67"/>
      <c r="F74" s="66"/>
      <c r="G74" s="66"/>
      <c r="H74" s="66"/>
      <c r="I74" s="82"/>
      <c r="J74" s="82"/>
      <c r="K74" s="82"/>
      <c r="L74" s="82"/>
      <c r="M74" s="82"/>
      <c r="N74" s="69"/>
      <c r="O74" s="70"/>
      <c r="P74" s="70"/>
      <c r="Q74" s="68"/>
    </row>
    <row r="75" spans="1:17" ht="16.5" customHeight="1" x14ac:dyDescent="0.3">
      <c r="A75" s="16"/>
      <c r="B75" s="14" t="s">
        <v>57</v>
      </c>
      <c r="C75" s="15" t="s">
        <v>22</v>
      </c>
      <c r="D75" s="26">
        <v>9.5</v>
      </c>
      <c r="E75" s="47" t="s">
        <v>163</v>
      </c>
      <c r="F75" s="26">
        <f>10%*D75</f>
        <v>0.95000000000000007</v>
      </c>
      <c r="G75" s="26">
        <v>1</v>
      </c>
      <c r="H75" s="26">
        <f t="shared" ref="H75:H83" si="17">SUM(F75:G75)</f>
        <v>1.9500000000000002</v>
      </c>
      <c r="I75" s="19">
        <v>0</v>
      </c>
      <c r="J75" s="19"/>
      <c r="K75" s="19">
        <v>0</v>
      </c>
      <c r="L75" s="19">
        <v>1</v>
      </c>
      <c r="M75" s="19">
        <f>SUM(I75:L75)</f>
        <v>1</v>
      </c>
      <c r="N75" s="35"/>
      <c r="O75" s="36"/>
      <c r="P75" s="36"/>
      <c r="Q75" s="16"/>
    </row>
    <row r="76" spans="1:17" ht="17.25" customHeight="1" x14ac:dyDescent="0.3">
      <c r="A76" s="16"/>
      <c r="B76" s="14" t="s">
        <v>58</v>
      </c>
      <c r="C76" s="15" t="s">
        <v>21</v>
      </c>
      <c r="D76" s="26">
        <v>18.11</v>
      </c>
      <c r="E76" s="47" t="s">
        <v>164</v>
      </c>
      <c r="F76" s="26">
        <f>11%*D76</f>
        <v>1.9921</v>
      </c>
      <c r="G76" s="26">
        <f>10%*D76</f>
        <v>1.8109999999999999</v>
      </c>
      <c r="H76" s="26">
        <f t="shared" si="17"/>
        <v>3.8030999999999997</v>
      </c>
      <c r="I76" s="19">
        <v>0</v>
      </c>
      <c r="J76" s="19"/>
      <c r="K76" s="19">
        <v>1</v>
      </c>
      <c r="L76" s="19">
        <v>1</v>
      </c>
      <c r="M76" s="19">
        <f t="shared" ref="M76:M83" si="18">SUM(I76:L76)</f>
        <v>2</v>
      </c>
      <c r="N76" s="35"/>
      <c r="O76" s="36" t="s">
        <v>50</v>
      </c>
      <c r="P76" s="36"/>
      <c r="Q76" s="16"/>
    </row>
    <row r="77" spans="1:17" ht="16.5" customHeight="1" x14ac:dyDescent="0.3">
      <c r="A77" s="16"/>
      <c r="B77" s="14"/>
      <c r="C77" s="15"/>
      <c r="D77" s="26"/>
      <c r="E77" s="49" t="s">
        <v>187</v>
      </c>
      <c r="F77" s="96">
        <f>12%*D76</f>
        <v>2.1732</v>
      </c>
      <c r="G77" s="96">
        <v>0</v>
      </c>
      <c r="H77" s="96">
        <f t="shared" si="17"/>
        <v>2.1732</v>
      </c>
      <c r="I77" s="97">
        <v>0</v>
      </c>
      <c r="J77" s="97">
        <v>0</v>
      </c>
      <c r="K77" s="97">
        <v>0</v>
      </c>
      <c r="L77" s="97">
        <v>0</v>
      </c>
      <c r="M77" s="97">
        <f t="shared" si="18"/>
        <v>0</v>
      </c>
      <c r="N77" s="35"/>
      <c r="O77" s="36"/>
      <c r="P77" s="36"/>
      <c r="Q77" s="16"/>
    </row>
    <row r="78" spans="1:17" ht="16.5" customHeight="1" x14ac:dyDescent="0.3">
      <c r="A78" s="16"/>
      <c r="B78" s="14" t="s">
        <v>59</v>
      </c>
      <c r="C78" s="15" t="s">
        <v>43</v>
      </c>
      <c r="D78" s="26">
        <v>19.79</v>
      </c>
      <c r="E78" s="47" t="s">
        <v>164</v>
      </c>
      <c r="F78" s="26">
        <f>9%*D78</f>
        <v>1.7810999999999999</v>
      </c>
      <c r="G78" s="26">
        <v>0</v>
      </c>
      <c r="H78" s="26">
        <f t="shared" si="17"/>
        <v>1.7810999999999999</v>
      </c>
      <c r="I78" s="19">
        <v>0</v>
      </c>
      <c r="J78" s="19"/>
      <c r="K78" s="19">
        <v>1</v>
      </c>
      <c r="L78" s="19">
        <v>0</v>
      </c>
      <c r="M78" s="19">
        <f t="shared" si="18"/>
        <v>1</v>
      </c>
      <c r="N78" s="35"/>
      <c r="O78" s="36" t="s">
        <v>137</v>
      </c>
      <c r="P78" s="36"/>
      <c r="Q78" s="16"/>
    </row>
    <row r="79" spans="1:17" ht="17.25" customHeight="1" x14ac:dyDescent="0.3">
      <c r="A79" s="16"/>
      <c r="B79" s="14" t="s">
        <v>60</v>
      </c>
      <c r="C79" s="15" t="s">
        <v>44</v>
      </c>
      <c r="D79" s="26">
        <v>30.5</v>
      </c>
      <c r="E79" s="47" t="s">
        <v>164</v>
      </c>
      <c r="F79" s="26">
        <f>9%*D79</f>
        <v>2.7450000000000001</v>
      </c>
      <c r="G79" s="26">
        <v>0</v>
      </c>
      <c r="H79" s="26">
        <f t="shared" si="17"/>
        <v>2.7450000000000001</v>
      </c>
      <c r="I79" s="19">
        <v>0</v>
      </c>
      <c r="J79" s="19">
        <v>0</v>
      </c>
      <c r="K79" s="19">
        <v>0</v>
      </c>
      <c r="L79" s="19">
        <v>0</v>
      </c>
      <c r="M79" s="19">
        <f t="shared" si="18"/>
        <v>0</v>
      </c>
      <c r="N79" s="35"/>
      <c r="O79" s="36" t="s">
        <v>145</v>
      </c>
      <c r="P79" s="36"/>
      <c r="Q79" s="16"/>
    </row>
    <row r="80" spans="1:17" ht="15.75" customHeight="1" x14ac:dyDescent="0.3">
      <c r="A80" s="16"/>
      <c r="B80" s="14" t="s">
        <v>61</v>
      </c>
      <c r="C80" s="15" t="s">
        <v>33</v>
      </c>
      <c r="D80" s="26">
        <v>8.3000000000000007</v>
      </c>
      <c r="E80" s="47" t="s">
        <v>164</v>
      </c>
      <c r="F80" s="26">
        <f>9%*D80</f>
        <v>0.747</v>
      </c>
      <c r="G80" s="26">
        <v>0</v>
      </c>
      <c r="H80" s="26">
        <f t="shared" si="17"/>
        <v>0.747</v>
      </c>
      <c r="I80" s="19">
        <v>0</v>
      </c>
      <c r="J80" s="19">
        <v>0</v>
      </c>
      <c r="K80" s="19">
        <v>0</v>
      </c>
      <c r="L80" s="19">
        <v>0</v>
      </c>
      <c r="M80" s="19">
        <f t="shared" si="18"/>
        <v>0</v>
      </c>
      <c r="N80" s="35"/>
      <c r="O80" s="36" t="s">
        <v>146</v>
      </c>
      <c r="P80" s="36"/>
      <c r="Q80" s="16"/>
    </row>
    <row r="81" spans="1:17" ht="17.25" customHeight="1" x14ac:dyDescent="0.3">
      <c r="A81" s="16"/>
      <c r="B81" s="14" t="s">
        <v>62</v>
      </c>
      <c r="C81" s="15" t="s">
        <v>32</v>
      </c>
      <c r="D81" s="26">
        <v>1.25</v>
      </c>
      <c r="E81" s="47" t="s">
        <v>164</v>
      </c>
      <c r="F81" s="26">
        <f>1%*D81</f>
        <v>1.2500000000000001E-2</v>
      </c>
      <c r="G81" s="26">
        <v>0</v>
      </c>
      <c r="H81" s="26">
        <f t="shared" si="17"/>
        <v>1.2500000000000001E-2</v>
      </c>
      <c r="I81" s="19">
        <v>0</v>
      </c>
      <c r="J81" s="19">
        <v>0</v>
      </c>
      <c r="K81" s="19">
        <v>0</v>
      </c>
      <c r="L81" s="19">
        <v>0</v>
      </c>
      <c r="M81" s="19">
        <f t="shared" si="18"/>
        <v>0</v>
      </c>
      <c r="N81" s="35"/>
      <c r="O81" s="36"/>
      <c r="P81" s="36"/>
      <c r="Q81" s="16"/>
    </row>
    <row r="82" spans="1:17" ht="16.5" customHeight="1" x14ac:dyDescent="0.3">
      <c r="A82" s="16"/>
      <c r="B82" s="14">
        <v>9</v>
      </c>
      <c r="C82" s="15" t="s">
        <v>30</v>
      </c>
      <c r="D82" s="26">
        <v>9.5</v>
      </c>
      <c r="E82" s="47" t="s">
        <v>164</v>
      </c>
      <c r="F82" s="26">
        <f>11%*D82</f>
        <v>1.0449999999999999</v>
      </c>
      <c r="G82" s="26">
        <v>0</v>
      </c>
      <c r="H82" s="26">
        <f t="shared" si="17"/>
        <v>1.0449999999999999</v>
      </c>
      <c r="I82" s="19">
        <v>0</v>
      </c>
      <c r="J82" s="19">
        <v>0</v>
      </c>
      <c r="K82" s="19">
        <v>0</v>
      </c>
      <c r="L82" s="19">
        <v>0</v>
      </c>
      <c r="M82" s="19">
        <f t="shared" si="18"/>
        <v>0</v>
      </c>
      <c r="N82" s="35"/>
      <c r="O82" s="36"/>
      <c r="P82" s="36"/>
      <c r="Q82" s="16"/>
    </row>
    <row r="83" spans="1:17" ht="17.25" customHeight="1" x14ac:dyDescent="0.3">
      <c r="A83" s="87"/>
      <c r="B83" s="55" t="s">
        <v>64</v>
      </c>
      <c r="C83" s="56" t="s">
        <v>31</v>
      </c>
      <c r="D83" s="57">
        <v>6</v>
      </c>
      <c r="E83" s="85" t="s">
        <v>164</v>
      </c>
      <c r="F83" s="26">
        <f>14%*D83</f>
        <v>0.84000000000000008</v>
      </c>
      <c r="G83" s="26">
        <v>0</v>
      </c>
      <c r="H83" s="26">
        <f t="shared" si="17"/>
        <v>0.84000000000000008</v>
      </c>
      <c r="I83" s="79">
        <v>0</v>
      </c>
      <c r="J83" s="79">
        <v>0</v>
      </c>
      <c r="K83" s="79">
        <v>0</v>
      </c>
      <c r="L83" s="79">
        <v>0</v>
      </c>
      <c r="M83" s="79">
        <f t="shared" si="18"/>
        <v>0</v>
      </c>
      <c r="N83" s="80"/>
      <c r="O83" s="81"/>
      <c r="P83" s="81"/>
      <c r="Q83" s="87"/>
    </row>
    <row r="84" spans="1:17" ht="18.75" customHeight="1" x14ac:dyDescent="0.3">
      <c r="A84" s="75"/>
      <c r="B84" s="72" t="s">
        <v>349</v>
      </c>
      <c r="C84" s="72"/>
      <c r="D84" s="73">
        <f>SUM(D75:D83)</f>
        <v>102.95</v>
      </c>
      <c r="E84" s="74"/>
      <c r="F84" s="73">
        <f t="shared" ref="F84:K84" si="19">SUM(F75:F83)</f>
        <v>12.2859</v>
      </c>
      <c r="G84" s="73">
        <f t="shared" si="19"/>
        <v>2.8109999999999999</v>
      </c>
      <c r="H84" s="73">
        <f t="shared" si="19"/>
        <v>15.0969</v>
      </c>
      <c r="I84" s="83">
        <f t="shared" si="19"/>
        <v>0</v>
      </c>
      <c r="J84" s="83">
        <f t="shared" si="19"/>
        <v>0</v>
      </c>
      <c r="K84" s="83">
        <f t="shared" si="19"/>
        <v>2</v>
      </c>
      <c r="L84" s="83">
        <f>SUM(L74:L83)</f>
        <v>2</v>
      </c>
      <c r="M84" s="83">
        <f>SUM(M75:M83)</f>
        <v>4</v>
      </c>
      <c r="N84" s="76"/>
      <c r="O84" s="77"/>
      <c r="P84" s="77"/>
      <c r="Q84" s="75"/>
    </row>
    <row r="85" spans="1:17" ht="17.25" customHeight="1" x14ac:dyDescent="0.3">
      <c r="A85" s="103">
        <v>6</v>
      </c>
      <c r="B85" s="104" t="s">
        <v>116</v>
      </c>
      <c r="C85" s="104"/>
      <c r="D85" s="105"/>
      <c r="E85" s="106"/>
      <c r="F85" s="105"/>
      <c r="G85" s="107"/>
      <c r="H85" s="105"/>
      <c r="I85" s="107"/>
      <c r="J85" s="107"/>
      <c r="K85" s="107"/>
      <c r="L85" s="107"/>
      <c r="M85" s="107"/>
      <c r="N85" s="69"/>
      <c r="O85" s="70"/>
      <c r="P85" s="70"/>
      <c r="Q85" s="68"/>
    </row>
    <row r="86" spans="1:17" ht="20.25" customHeight="1" x14ac:dyDescent="0.3">
      <c r="A86" s="27"/>
      <c r="B86" s="152" t="s">
        <v>57</v>
      </c>
      <c r="C86" s="153" t="s">
        <v>30</v>
      </c>
      <c r="D86" s="154">
        <v>57.9</v>
      </c>
      <c r="E86" s="101" t="s">
        <v>188</v>
      </c>
      <c r="F86" s="154">
        <f>3%*D86</f>
        <v>1.7369999999999999</v>
      </c>
      <c r="G86" s="155">
        <v>0</v>
      </c>
      <c r="H86" s="154">
        <f t="shared" ref="H86:H90" si="20">SUM(F86:G86)</f>
        <v>1.7369999999999999</v>
      </c>
      <c r="I86" s="155">
        <v>0</v>
      </c>
      <c r="J86" s="155"/>
      <c r="K86" s="155"/>
      <c r="L86" s="155">
        <v>0</v>
      </c>
      <c r="M86" s="155">
        <f>SUM(I86:L86)</f>
        <v>0</v>
      </c>
      <c r="N86" s="156" t="s">
        <v>86</v>
      </c>
      <c r="O86" s="40" t="s">
        <v>271</v>
      </c>
      <c r="P86" s="176">
        <f>G86*0.347*30*16000000</f>
        <v>0</v>
      </c>
      <c r="Q86" s="27"/>
    </row>
    <row r="87" spans="1:17" ht="22.5" customHeight="1" x14ac:dyDescent="0.3">
      <c r="A87" s="16"/>
      <c r="B87" s="14" t="s">
        <v>58</v>
      </c>
      <c r="C87" s="15" t="s">
        <v>44</v>
      </c>
      <c r="D87" s="26">
        <v>84.65</v>
      </c>
      <c r="E87" s="47" t="s">
        <v>182</v>
      </c>
      <c r="F87" s="26">
        <f>4%*D87</f>
        <v>3.3860000000000001</v>
      </c>
      <c r="G87" s="19">
        <v>0</v>
      </c>
      <c r="H87" s="26">
        <f t="shared" si="20"/>
        <v>3.3860000000000001</v>
      </c>
      <c r="I87" s="19">
        <v>0</v>
      </c>
      <c r="J87" s="19"/>
      <c r="K87" s="19">
        <v>2</v>
      </c>
      <c r="L87" s="19">
        <v>0</v>
      </c>
      <c r="M87" s="19">
        <f t="shared" ref="M87:M90" si="21">SUM(I87:L87)</f>
        <v>2</v>
      </c>
      <c r="N87" s="35"/>
      <c r="O87" s="36" t="s">
        <v>272</v>
      </c>
      <c r="P87" s="176">
        <f>G87*0.347*30*16000000</f>
        <v>0</v>
      </c>
      <c r="Q87" s="16"/>
    </row>
    <row r="88" spans="1:17" ht="29.25" customHeight="1" x14ac:dyDescent="0.3">
      <c r="A88" s="16"/>
      <c r="B88" s="14"/>
      <c r="C88" s="15"/>
      <c r="D88" s="26"/>
      <c r="E88" s="101" t="s">
        <v>181</v>
      </c>
      <c r="F88" s="96">
        <f>9%*D87</f>
        <v>7.6185</v>
      </c>
      <c r="G88" s="97">
        <v>0</v>
      </c>
      <c r="H88" s="96">
        <f t="shared" si="20"/>
        <v>7.6185</v>
      </c>
      <c r="I88" s="97">
        <v>0</v>
      </c>
      <c r="J88" s="97"/>
      <c r="K88" s="97">
        <v>0</v>
      </c>
      <c r="L88" s="97">
        <v>0</v>
      </c>
      <c r="M88" s="97">
        <f>SUM(I88:L88)</f>
        <v>0</v>
      </c>
      <c r="N88" s="35"/>
      <c r="O88" s="159" t="s">
        <v>273</v>
      </c>
      <c r="P88" s="176">
        <f>G88*0.347*30*16000000</f>
        <v>0</v>
      </c>
      <c r="Q88" s="16"/>
    </row>
    <row r="89" spans="1:17" ht="27.75" customHeight="1" x14ac:dyDescent="0.3">
      <c r="A89" s="16"/>
      <c r="B89" s="14" t="s">
        <v>59</v>
      </c>
      <c r="C89" s="15" t="s">
        <v>33</v>
      </c>
      <c r="D89" s="26">
        <v>14.2</v>
      </c>
      <c r="E89" s="101" t="s">
        <v>181</v>
      </c>
      <c r="F89" s="26">
        <f>10%*D89</f>
        <v>1.42</v>
      </c>
      <c r="G89" s="19">
        <v>0</v>
      </c>
      <c r="H89" s="26">
        <f t="shared" si="20"/>
        <v>1.42</v>
      </c>
      <c r="I89" s="19">
        <v>0</v>
      </c>
      <c r="J89" s="19"/>
      <c r="K89" s="19"/>
      <c r="L89" s="19"/>
      <c r="M89" s="19">
        <f t="shared" si="21"/>
        <v>0</v>
      </c>
      <c r="N89" s="35" t="s">
        <v>88</v>
      </c>
      <c r="O89" s="36" t="s">
        <v>274</v>
      </c>
      <c r="P89" s="176">
        <f>G89*0.347*30*16000000</f>
        <v>0</v>
      </c>
      <c r="Q89" s="16"/>
    </row>
    <row r="90" spans="1:17" ht="48" customHeight="1" x14ac:dyDescent="0.3">
      <c r="A90" s="108"/>
      <c r="B90" s="128" t="s">
        <v>61</v>
      </c>
      <c r="C90" s="126" t="s">
        <v>35</v>
      </c>
      <c r="D90" s="127">
        <v>36.72</v>
      </c>
      <c r="E90" s="142" t="s">
        <v>183</v>
      </c>
      <c r="F90" s="127">
        <f>7%*D90</f>
        <v>2.5704000000000002</v>
      </c>
      <c r="G90" s="143">
        <v>0</v>
      </c>
      <c r="H90" s="127">
        <f t="shared" si="20"/>
        <v>2.5704000000000002</v>
      </c>
      <c r="I90" s="143">
        <v>0</v>
      </c>
      <c r="J90" s="143">
        <v>0</v>
      </c>
      <c r="K90" s="143">
        <v>0</v>
      </c>
      <c r="L90" s="143">
        <v>0</v>
      </c>
      <c r="M90" s="143">
        <f t="shared" si="21"/>
        <v>0</v>
      </c>
      <c r="N90" s="157" t="s">
        <v>254</v>
      </c>
      <c r="O90" s="158" t="s">
        <v>137</v>
      </c>
      <c r="P90" s="176">
        <f>G90*0.347*30*16000000</f>
        <v>0</v>
      </c>
      <c r="Q90" s="87"/>
    </row>
    <row r="91" spans="1:17" ht="14.25" customHeight="1" x14ac:dyDescent="0.3">
      <c r="A91" s="75"/>
      <c r="B91" s="136" t="s">
        <v>351</v>
      </c>
      <c r="C91" s="137"/>
      <c r="D91" s="138">
        <f>SUM(D86:D90)</f>
        <v>193.47</v>
      </c>
      <c r="E91" s="139"/>
      <c r="F91" s="138">
        <f t="shared" ref="F91:M91" si="22">SUM(F86:F90)</f>
        <v>16.7319</v>
      </c>
      <c r="G91" s="140">
        <f t="shared" si="22"/>
        <v>0</v>
      </c>
      <c r="H91" s="138">
        <f t="shared" si="22"/>
        <v>16.7319</v>
      </c>
      <c r="I91" s="140">
        <f t="shared" si="22"/>
        <v>0</v>
      </c>
      <c r="J91" s="140">
        <f t="shared" si="22"/>
        <v>0</v>
      </c>
      <c r="K91" s="140">
        <f t="shared" si="22"/>
        <v>2</v>
      </c>
      <c r="L91" s="140">
        <f t="shared" si="22"/>
        <v>0</v>
      </c>
      <c r="M91" s="140">
        <f t="shared" si="22"/>
        <v>2</v>
      </c>
      <c r="N91" s="76"/>
      <c r="O91" s="77"/>
      <c r="P91" s="162">
        <f>SUM(P86:P90)</f>
        <v>0</v>
      </c>
      <c r="Q91" s="75"/>
    </row>
    <row r="92" spans="1:17" ht="13.5" customHeight="1" x14ac:dyDescent="0.3">
      <c r="A92" s="63">
        <v>7</v>
      </c>
      <c r="B92" s="8" t="s">
        <v>117</v>
      </c>
      <c r="C92" s="10"/>
      <c r="D92" s="90"/>
      <c r="E92" s="67"/>
      <c r="F92" s="66"/>
      <c r="G92" s="82"/>
      <c r="H92" s="66"/>
      <c r="I92" s="82"/>
      <c r="J92" s="82"/>
      <c r="K92" s="82"/>
      <c r="L92" s="82"/>
      <c r="M92" s="82"/>
      <c r="N92" s="69"/>
      <c r="O92" s="70"/>
      <c r="P92" s="70"/>
      <c r="Q92" s="68"/>
    </row>
    <row r="93" spans="1:17" ht="24.75" customHeight="1" x14ac:dyDescent="0.3">
      <c r="A93" s="16"/>
      <c r="B93" s="14" t="s">
        <v>57</v>
      </c>
      <c r="C93" s="15" t="s">
        <v>22</v>
      </c>
      <c r="D93" s="26">
        <v>296.95</v>
      </c>
      <c r="E93" s="101" t="s">
        <v>203</v>
      </c>
      <c r="F93" s="96">
        <f>5%*D93</f>
        <v>14.8475</v>
      </c>
      <c r="G93" s="97">
        <v>0</v>
      </c>
      <c r="H93" s="96">
        <f t="shared" ref="H93:H101" si="23">SUM(F93:G93)</f>
        <v>14.8475</v>
      </c>
      <c r="I93" s="97">
        <v>0</v>
      </c>
      <c r="J93" s="97"/>
      <c r="K93" s="97">
        <v>0</v>
      </c>
      <c r="L93" s="97">
        <v>4</v>
      </c>
      <c r="M93" s="97">
        <f>SUM(I93:L93)</f>
        <v>4</v>
      </c>
      <c r="N93" s="35"/>
      <c r="O93" s="40" t="s">
        <v>211</v>
      </c>
      <c r="P93" s="167">
        <f t="shared" ref="P93:P102" si="24">G93*0.3*30%*50000000</f>
        <v>0</v>
      </c>
      <c r="Q93" s="16"/>
    </row>
    <row r="94" spans="1:17" ht="15" customHeight="1" x14ac:dyDescent="0.3">
      <c r="A94" s="16"/>
      <c r="B94" s="14"/>
      <c r="C94" s="15"/>
      <c r="D94" s="26"/>
      <c r="E94" s="101" t="s">
        <v>220</v>
      </c>
      <c r="F94" s="96">
        <f>2%*D93</f>
        <v>5.9390000000000001</v>
      </c>
      <c r="G94" s="97"/>
      <c r="H94" s="96">
        <f>SUM(F94:G94)</f>
        <v>5.9390000000000001</v>
      </c>
      <c r="I94" s="97">
        <v>0</v>
      </c>
      <c r="J94" s="97"/>
      <c r="K94" s="97">
        <v>0</v>
      </c>
      <c r="L94" s="97">
        <v>4</v>
      </c>
      <c r="M94" s="97">
        <f>SUM(I94:L94)</f>
        <v>4</v>
      </c>
      <c r="N94" s="35"/>
      <c r="O94" s="40"/>
      <c r="P94" s="167">
        <f t="shared" si="24"/>
        <v>0</v>
      </c>
      <c r="Q94" s="16"/>
    </row>
    <row r="95" spans="1:17" ht="32.25" customHeight="1" x14ac:dyDescent="0.3">
      <c r="A95" s="16"/>
      <c r="B95" s="14" t="s">
        <v>58</v>
      </c>
      <c r="C95" s="15" t="s">
        <v>42</v>
      </c>
      <c r="D95" s="26">
        <v>248.5</v>
      </c>
      <c r="E95" s="101" t="s">
        <v>203</v>
      </c>
      <c r="F95" s="96">
        <f>5%*D95</f>
        <v>12.425000000000001</v>
      </c>
      <c r="G95" s="97">
        <v>0</v>
      </c>
      <c r="H95" s="96">
        <f t="shared" si="23"/>
        <v>12.425000000000001</v>
      </c>
      <c r="I95" s="97">
        <v>0</v>
      </c>
      <c r="J95" s="97"/>
      <c r="K95" s="97">
        <v>0</v>
      </c>
      <c r="L95" s="97">
        <v>4</v>
      </c>
      <c r="M95" s="97">
        <f>SUM(I95:L95)</f>
        <v>4</v>
      </c>
      <c r="N95" s="35"/>
      <c r="O95" s="40" t="s">
        <v>137</v>
      </c>
      <c r="P95" s="167">
        <f t="shared" si="24"/>
        <v>0</v>
      </c>
      <c r="Q95" s="16"/>
    </row>
    <row r="96" spans="1:17" ht="14.25" customHeight="1" x14ac:dyDescent="0.3">
      <c r="A96" s="16"/>
      <c r="B96" s="14"/>
      <c r="C96" s="15"/>
      <c r="D96" s="26"/>
      <c r="E96" s="101" t="s">
        <v>220</v>
      </c>
      <c r="F96" s="96">
        <f>8%*D95</f>
        <v>19.88</v>
      </c>
      <c r="G96" s="97"/>
      <c r="H96" s="96">
        <f>SUM(F96:G96)</f>
        <v>19.88</v>
      </c>
      <c r="I96" s="97"/>
      <c r="J96" s="97"/>
      <c r="K96" s="97"/>
      <c r="L96" s="97"/>
      <c r="M96" s="97"/>
      <c r="N96" s="35"/>
      <c r="O96" s="40"/>
      <c r="P96" s="167">
        <f t="shared" si="24"/>
        <v>0</v>
      </c>
      <c r="Q96" s="16"/>
    </row>
    <row r="97" spans="1:17" ht="22.5" customHeight="1" x14ac:dyDescent="0.3">
      <c r="A97" s="16"/>
      <c r="B97" s="14" t="s">
        <v>59</v>
      </c>
      <c r="C97" s="15" t="s">
        <v>21</v>
      </c>
      <c r="D97" s="18">
        <v>156.94999999999999</v>
      </c>
      <c r="E97" s="101" t="s">
        <v>203</v>
      </c>
      <c r="F97" s="145"/>
      <c r="G97" s="146">
        <v>5</v>
      </c>
      <c r="H97" s="96">
        <f t="shared" si="23"/>
        <v>5</v>
      </c>
      <c r="I97" s="97">
        <v>0</v>
      </c>
      <c r="J97" s="97"/>
      <c r="K97" s="97">
        <v>0</v>
      </c>
      <c r="L97" s="97">
        <v>2</v>
      </c>
      <c r="M97" s="97">
        <f>SUM(I97:L97)</f>
        <v>2</v>
      </c>
      <c r="N97" s="35"/>
      <c r="O97" s="36"/>
      <c r="P97" s="167">
        <f t="shared" si="24"/>
        <v>22499999.999999996</v>
      </c>
      <c r="Q97" s="16"/>
    </row>
    <row r="98" spans="1:17" ht="15.75" customHeight="1" x14ac:dyDescent="0.3">
      <c r="A98" s="16"/>
      <c r="B98" s="14"/>
      <c r="C98" s="15"/>
      <c r="D98" s="18"/>
      <c r="E98" s="101" t="s">
        <v>220</v>
      </c>
      <c r="F98" s="96">
        <f>8%*D97</f>
        <v>12.555999999999999</v>
      </c>
      <c r="G98" s="97"/>
      <c r="H98" s="96">
        <f>SUM(F98:G98)</f>
        <v>12.555999999999999</v>
      </c>
      <c r="I98" s="97"/>
      <c r="J98" s="97"/>
      <c r="K98" s="97"/>
      <c r="L98" s="97"/>
      <c r="M98" s="97"/>
      <c r="N98" s="35"/>
      <c r="O98" s="36"/>
      <c r="P98" s="167">
        <f t="shared" si="24"/>
        <v>0</v>
      </c>
      <c r="Q98" s="16"/>
    </row>
    <row r="99" spans="1:17" ht="24" customHeight="1" x14ac:dyDescent="0.3">
      <c r="A99" s="16"/>
      <c r="B99" s="14" t="s">
        <v>60</v>
      </c>
      <c r="C99" s="15" t="s">
        <v>43</v>
      </c>
      <c r="D99" s="26">
        <v>455.8</v>
      </c>
      <c r="E99" s="101" t="s">
        <v>221</v>
      </c>
      <c r="F99" s="96">
        <f>7%*D99</f>
        <v>31.906000000000002</v>
      </c>
      <c r="G99" s="97">
        <v>0</v>
      </c>
      <c r="H99" s="96">
        <f t="shared" si="23"/>
        <v>31.906000000000002</v>
      </c>
      <c r="I99" s="97">
        <v>0</v>
      </c>
      <c r="J99" s="97"/>
      <c r="K99" s="97">
        <v>0</v>
      </c>
      <c r="L99" s="97">
        <v>5</v>
      </c>
      <c r="M99" s="97">
        <f>SUM(I99:L99)</f>
        <v>5</v>
      </c>
      <c r="N99" s="35"/>
      <c r="O99" s="36"/>
      <c r="P99" s="167">
        <f t="shared" si="24"/>
        <v>0</v>
      </c>
      <c r="Q99" s="16"/>
    </row>
    <row r="100" spans="1:17" ht="20.25" customHeight="1" x14ac:dyDescent="0.3">
      <c r="A100" s="16"/>
      <c r="B100" s="14"/>
      <c r="C100" s="15"/>
      <c r="D100" s="26"/>
      <c r="E100" s="101" t="s">
        <v>220</v>
      </c>
      <c r="F100" s="96"/>
      <c r="G100" s="96">
        <f>13%*D99</f>
        <v>59.254000000000005</v>
      </c>
      <c r="H100" s="96">
        <f>SUM(F100:G100)</f>
        <v>59.254000000000005</v>
      </c>
      <c r="I100" s="97"/>
      <c r="J100" s="97"/>
      <c r="K100" s="97"/>
      <c r="L100" s="97"/>
      <c r="M100" s="97"/>
      <c r="N100" s="35"/>
      <c r="O100" s="36"/>
      <c r="P100" s="167">
        <f t="shared" si="24"/>
        <v>266642999.99999997</v>
      </c>
      <c r="Q100" s="16"/>
    </row>
    <row r="101" spans="1:17" ht="23.25" customHeight="1" x14ac:dyDescent="0.3">
      <c r="A101" s="16"/>
      <c r="B101" s="14" t="s">
        <v>61</v>
      </c>
      <c r="C101" s="15" t="s">
        <v>44</v>
      </c>
      <c r="D101" s="26">
        <v>87.95</v>
      </c>
      <c r="E101" s="101" t="s">
        <v>203</v>
      </c>
      <c r="F101" s="26">
        <f>9%*D101</f>
        <v>7.9154999999999998</v>
      </c>
      <c r="G101" s="19">
        <v>0</v>
      </c>
      <c r="H101" s="26">
        <f t="shared" si="23"/>
        <v>7.9154999999999998</v>
      </c>
      <c r="I101" s="19">
        <v>0</v>
      </c>
      <c r="J101" s="19"/>
      <c r="K101" s="19">
        <v>5</v>
      </c>
      <c r="L101" s="19">
        <v>0</v>
      </c>
      <c r="M101" s="19">
        <f t="shared" ref="M101:M103" si="25">SUM(I101:L101)</f>
        <v>5</v>
      </c>
      <c r="N101" s="35"/>
      <c r="O101" s="36"/>
      <c r="P101" s="167">
        <f t="shared" si="24"/>
        <v>0</v>
      </c>
      <c r="Q101" s="16"/>
    </row>
    <row r="102" spans="1:17" ht="18.75" customHeight="1" x14ac:dyDescent="0.3">
      <c r="A102" s="16"/>
      <c r="B102" s="14"/>
      <c r="C102" s="15"/>
      <c r="D102" s="26"/>
      <c r="E102" s="101" t="s">
        <v>220</v>
      </c>
      <c r="F102" s="26"/>
      <c r="G102" s="26">
        <f>9%*D101</f>
        <v>7.9154999999999998</v>
      </c>
      <c r="H102" s="26">
        <f>SUM(F102:G102)</f>
        <v>7.9154999999999998</v>
      </c>
      <c r="I102" s="97">
        <v>0</v>
      </c>
      <c r="J102" s="97">
        <v>0</v>
      </c>
      <c r="K102" s="97">
        <v>0</v>
      </c>
      <c r="L102" s="97">
        <v>0</v>
      </c>
      <c r="M102" s="97">
        <f t="shared" si="25"/>
        <v>0</v>
      </c>
      <c r="N102" s="35"/>
      <c r="O102" s="36"/>
      <c r="P102" s="167">
        <f t="shared" si="24"/>
        <v>35619750</v>
      </c>
      <c r="Q102" s="16"/>
    </row>
    <row r="103" spans="1:17" ht="7.5" customHeight="1" x14ac:dyDescent="0.3">
      <c r="A103" s="87"/>
      <c r="B103" s="55"/>
      <c r="C103" s="56"/>
      <c r="D103" s="57"/>
      <c r="E103" s="132"/>
      <c r="F103" s="124"/>
      <c r="G103" s="124"/>
      <c r="H103" s="124">
        <f>SUM(F103:G103)</f>
        <v>0</v>
      </c>
      <c r="I103" s="133">
        <v>0</v>
      </c>
      <c r="J103" s="133">
        <v>0</v>
      </c>
      <c r="K103" s="133">
        <v>0</v>
      </c>
      <c r="L103" s="133">
        <v>0</v>
      </c>
      <c r="M103" s="133">
        <f t="shared" si="25"/>
        <v>0</v>
      </c>
      <c r="N103" s="80"/>
      <c r="O103" s="81"/>
      <c r="P103" s="81"/>
      <c r="Q103" s="87"/>
    </row>
    <row r="104" spans="1:17" ht="18.75" customHeight="1" x14ac:dyDescent="0.3">
      <c r="A104" s="75"/>
      <c r="B104" s="72" t="s">
        <v>350</v>
      </c>
      <c r="C104" s="72"/>
      <c r="D104" s="73">
        <f>SUM(D93:D103)</f>
        <v>1246.1500000000001</v>
      </c>
      <c r="E104" s="74"/>
      <c r="F104" s="73">
        <f>SUM(F86:F103)</f>
        <v>138.93280000000001</v>
      </c>
      <c r="G104" s="83">
        <f>SUM(G86:G103)</f>
        <v>72.169499999999999</v>
      </c>
      <c r="H104" s="73">
        <f>SUM(H86:H103)</f>
        <v>211.10230000000001</v>
      </c>
      <c r="I104" s="83">
        <f>SUM(I93:I103)</f>
        <v>0</v>
      </c>
      <c r="J104" s="83">
        <f>SUM(J93:J103)</f>
        <v>0</v>
      </c>
      <c r="K104" s="83">
        <f>SUM(K93:K103)</f>
        <v>5</v>
      </c>
      <c r="L104" s="83">
        <f>SUM(L93:L103)</f>
        <v>19</v>
      </c>
      <c r="M104" s="83">
        <f>SUM(M92:M103)</f>
        <v>24</v>
      </c>
      <c r="N104" s="76"/>
      <c r="O104" s="77"/>
      <c r="P104" s="168">
        <f>SUM(P93:P103)</f>
        <v>324762749.99999994</v>
      </c>
      <c r="Q104" s="75"/>
    </row>
    <row r="105" spans="1:17" ht="8.25" customHeight="1" x14ac:dyDescent="0.3">
      <c r="F105" s="2"/>
      <c r="G105" s="2"/>
      <c r="H105" s="2"/>
      <c r="I105" s="2"/>
      <c r="J105" s="2"/>
      <c r="K105" s="2"/>
      <c r="L105" s="2"/>
      <c r="M105" s="2"/>
    </row>
    <row r="106" spans="1:17" ht="14.25" customHeight="1" x14ac:dyDescent="0.3">
      <c r="F106" s="2"/>
      <c r="G106" s="2"/>
      <c r="H106" s="2"/>
      <c r="I106" s="2"/>
      <c r="J106" s="2" t="s">
        <v>285</v>
      </c>
      <c r="K106" s="2"/>
      <c r="L106" s="2"/>
      <c r="M106" s="2"/>
    </row>
    <row r="107" spans="1:17" ht="12" customHeight="1" x14ac:dyDescent="0.3">
      <c r="A107" s="395" t="s">
        <v>80</v>
      </c>
      <c r="B107" s="395"/>
      <c r="C107" s="395"/>
      <c r="D107" s="395"/>
    </row>
    <row r="108" spans="1:17" x14ac:dyDescent="0.3">
      <c r="A108" s="395" t="s">
        <v>81</v>
      </c>
      <c r="B108" s="395"/>
      <c r="C108" s="395"/>
      <c r="D108" s="395"/>
      <c r="J108" s="1" t="s">
        <v>85</v>
      </c>
    </row>
    <row r="109" spans="1:17" x14ac:dyDescent="0.3">
      <c r="A109" s="395" t="s">
        <v>82</v>
      </c>
      <c r="B109" s="395"/>
      <c r="C109" s="395"/>
      <c r="D109" s="395"/>
      <c r="J109" s="3" t="s">
        <v>86</v>
      </c>
      <c r="K109" s="1" t="s">
        <v>87</v>
      </c>
      <c r="O109" s="1" t="s">
        <v>90</v>
      </c>
    </row>
    <row r="110" spans="1:17" x14ac:dyDescent="0.3">
      <c r="A110" s="395" t="s">
        <v>83</v>
      </c>
      <c r="B110" s="395"/>
      <c r="C110" s="395"/>
      <c r="D110" s="395"/>
      <c r="K110" s="1" t="s">
        <v>91</v>
      </c>
    </row>
    <row r="111" spans="1:17" ht="13.5" customHeight="1" x14ac:dyDescent="0.3"/>
    <row r="112" spans="1:17" x14ac:dyDescent="0.3">
      <c r="J112" s="3" t="s">
        <v>88</v>
      </c>
      <c r="K112" s="1" t="s">
        <v>89</v>
      </c>
      <c r="O112" s="1" t="s">
        <v>90</v>
      </c>
    </row>
    <row r="113" spans="1:15" x14ac:dyDescent="0.3">
      <c r="K113" s="1" t="s">
        <v>92</v>
      </c>
    </row>
    <row r="114" spans="1:15" x14ac:dyDescent="0.3">
      <c r="A114" s="398" t="s">
        <v>175</v>
      </c>
      <c r="B114" s="398"/>
      <c r="C114" s="398"/>
      <c r="D114" s="398"/>
    </row>
    <row r="115" spans="1:15" x14ac:dyDescent="0.3">
      <c r="A115" s="395" t="s">
        <v>190</v>
      </c>
      <c r="B115" s="395"/>
      <c r="C115" s="395"/>
      <c r="D115" s="395"/>
      <c r="J115" s="1" t="s">
        <v>254</v>
      </c>
      <c r="K115" s="1" t="s">
        <v>255</v>
      </c>
      <c r="O115" s="1" t="s">
        <v>90</v>
      </c>
    </row>
    <row r="116" spans="1:15" x14ac:dyDescent="0.3">
      <c r="K116" s="1" t="s">
        <v>256</v>
      </c>
    </row>
  </sheetData>
  <mergeCells count="21">
    <mergeCell ref="A114:D114"/>
    <mergeCell ref="A115:D115"/>
    <mergeCell ref="B7:C7"/>
    <mergeCell ref="O26:O30"/>
    <mergeCell ref="A107:D107"/>
    <mergeCell ref="A108:D108"/>
    <mergeCell ref="A109:D109"/>
    <mergeCell ref="A110:D110"/>
    <mergeCell ref="B24:C24"/>
    <mergeCell ref="B31:C31"/>
    <mergeCell ref="A1:Q1"/>
    <mergeCell ref="A2:Q2"/>
    <mergeCell ref="A6:A7"/>
    <mergeCell ref="B6:C6"/>
    <mergeCell ref="D6:D7"/>
    <mergeCell ref="E6:E7"/>
    <mergeCell ref="F6:H6"/>
    <mergeCell ref="I6:M6"/>
    <mergeCell ref="N6:O7"/>
    <mergeCell ref="Q6:Q7"/>
    <mergeCell ref="P6:P7"/>
  </mergeCells>
  <pageMargins left="0.52" right="0.70866141732283472" top="0.74803149606299213" bottom="0.74803149606299213" header="0.31496062992125984" footer="0.31496062992125984"/>
  <pageSetup paperSize="5" scale="90" orientation="landscape" horizontalDpi="4294967293"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S116"/>
  <sheetViews>
    <sheetView view="pageBreakPreview" topLeftCell="A58" zoomScale="96" zoomScaleNormal="100" zoomScaleSheetLayoutView="96" workbookViewId="0">
      <selection activeCell="B92" sqref="B92"/>
    </sheetView>
  </sheetViews>
  <sheetFormatPr defaultColWidth="9.1796875" defaultRowHeight="14" x14ac:dyDescent="0.3"/>
  <cols>
    <col min="1" max="1" width="7.453125" style="1" customWidth="1"/>
    <col min="2" max="2" width="2.1796875" style="1" customWidth="1"/>
    <col min="3" max="3" width="19" style="1" customWidth="1"/>
    <col min="4" max="4" width="10" style="1" customWidth="1"/>
    <col min="5" max="5" width="22" style="1" customWidth="1"/>
    <col min="6" max="6" width="10" style="1" bestFit="1" customWidth="1"/>
    <col min="7" max="7" width="8.81640625" style="1" customWidth="1"/>
    <col min="8" max="8" width="9" style="1" customWidth="1"/>
    <col min="9" max="9" width="6.7265625" style="1" customWidth="1"/>
    <col min="10" max="10" width="7" style="1" customWidth="1"/>
    <col min="11" max="12" width="7.54296875" style="1" customWidth="1"/>
    <col min="13" max="13" width="6.81640625" style="1" bestFit="1" customWidth="1"/>
    <col min="14" max="14" width="2.1796875" style="1" customWidth="1"/>
    <col min="15" max="15" width="20.1796875" style="1" customWidth="1"/>
    <col min="16" max="16" width="15.453125" style="1" customWidth="1"/>
    <col min="17" max="17" width="10.26953125" style="1" customWidth="1"/>
    <col min="18" max="16384" width="9.1796875" style="1"/>
  </cols>
  <sheetData>
    <row r="1" spans="1:19" x14ac:dyDescent="0.3">
      <c r="A1" s="385" t="s">
        <v>260</v>
      </c>
      <c r="B1" s="385"/>
      <c r="C1" s="385"/>
      <c r="D1" s="385"/>
      <c r="E1" s="385"/>
      <c r="F1" s="385"/>
      <c r="G1" s="385"/>
      <c r="H1" s="385"/>
      <c r="I1" s="385"/>
      <c r="J1" s="385"/>
      <c r="K1" s="385"/>
      <c r="L1" s="385"/>
      <c r="M1" s="385"/>
      <c r="N1" s="385"/>
      <c r="O1" s="385"/>
      <c r="P1" s="385"/>
      <c r="Q1" s="385"/>
    </row>
    <row r="2" spans="1:19" ht="14.25" customHeight="1" x14ac:dyDescent="0.3">
      <c r="A2" s="385" t="s">
        <v>261</v>
      </c>
      <c r="B2" s="385"/>
      <c r="C2" s="385"/>
      <c r="D2" s="385"/>
      <c r="E2" s="385"/>
      <c r="F2" s="385"/>
      <c r="G2" s="385"/>
      <c r="H2" s="385"/>
      <c r="I2" s="385"/>
      <c r="J2" s="385"/>
      <c r="K2" s="385"/>
      <c r="L2" s="385"/>
      <c r="M2" s="385"/>
      <c r="N2" s="385"/>
      <c r="O2" s="385"/>
      <c r="P2" s="385"/>
      <c r="Q2" s="385"/>
    </row>
    <row r="3" spans="1:19" ht="14.25" customHeight="1" x14ac:dyDescent="0.3">
      <c r="A3" s="1" t="s">
        <v>1</v>
      </c>
      <c r="B3" s="1" t="s">
        <v>78</v>
      </c>
      <c r="C3" s="1" t="s">
        <v>77</v>
      </c>
    </row>
    <row r="4" spans="1:19" ht="14.25" customHeight="1" x14ac:dyDescent="0.3">
      <c r="A4" s="1" t="s">
        <v>2</v>
      </c>
      <c r="B4" s="1" t="s">
        <v>78</v>
      </c>
      <c r="C4" s="4" t="s">
        <v>282</v>
      </c>
    </row>
    <row r="6" spans="1:19" x14ac:dyDescent="0.3">
      <c r="A6" s="386" t="s">
        <v>3</v>
      </c>
      <c r="B6" s="388" t="s">
        <v>4</v>
      </c>
      <c r="C6" s="388"/>
      <c r="D6" s="389" t="s">
        <v>259</v>
      </c>
      <c r="E6" s="391" t="s">
        <v>7</v>
      </c>
      <c r="F6" s="393" t="s">
        <v>170</v>
      </c>
      <c r="G6" s="393"/>
      <c r="H6" s="393"/>
      <c r="I6" s="393" t="s">
        <v>12</v>
      </c>
      <c r="J6" s="393"/>
      <c r="K6" s="393"/>
      <c r="L6" s="393"/>
      <c r="M6" s="393"/>
      <c r="N6" s="391" t="s">
        <v>17</v>
      </c>
      <c r="O6" s="391"/>
      <c r="P6" s="391" t="s">
        <v>258</v>
      </c>
      <c r="Q6" s="386" t="s">
        <v>192</v>
      </c>
    </row>
    <row r="7" spans="1:19" x14ac:dyDescent="0.3">
      <c r="A7" s="387"/>
      <c r="B7" s="394" t="s">
        <v>5</v>
      </c>
      <c r="C7" s="394"/>
      <c r="D7" s="390"/>
      <c r="E7" s="392"/>
      <c r="F7" s="147" t="s">
        <v>9</v>
      </c>
      <c r="G7" s="147" t="s">
        <v>10</v>
      </c>
      <c r="H7" s="147" t="s">
        <v>11</v>
      </c>
      <c r="I7" s="147" t="s">
        <v>16</v>
      </c>
      <c r="J7" s="147" t="s">
        <v>13</v>
      </c>
      <c r="K7" s="147" t="s">
        <v>14</v>
      </c>
      <c r="L7" s="148" t="s">
        <v>257</v>
      </c>
      <c r="M7" s="147" t="s">
        <v>11</v>
      </c>
      <c r="N7" s="392"/>
      <c r="O7" s="392"/>
      <c r="P7" s="392"/>
      <c r="Q7" s="387"/>
    </row>
    <row r="8" spans="1:19" ht="9" customHeight="1" x14ac:dyDescent="0.3">
      <c r="A8" s="5"/>
      <c r="B8" s="8"/>
      <c r="C8" s="10"/>
      <c r="D8" s="5"/>
      <c r="E8" s="5"/>
      <c r="F8" s="5"/>
      <c r="G8" s="5"/>
      <c r="H8" s="5"/>
      <c r="I8" s="5"/>
      <c r="J8" s="5"/>
      <c r="K8" s="5"/>
      <c r="L8" s="5"/>
      <c r="M8" s="5"/>
      <c r="N8" s="8"/>
      <c r="O8" s="10"/>
      <c r="P8" s="10"/>
      <c r="Q8" s="5"/>
    </row>
    <row r="9" spans="1:19" ht="18.75" customHeight="1" x14ac:dyDescent="0.3">
      <c r="A9" s="13">
        <v>1</v>
      </c>
      <c r="B9" s="14" t="s">
        <v>20</v>
      </c>
      <c r="C9" s="15"/>
      <c r="D9" s="16"/>
      <c r="E9" s="47"/>
      <c r="F9" s="16"/>
      <c r="G9" s="16"/>
      <c r="H9" s="16"/>
      <c r="I9" s="16"/>
      <c r="J9" s="16"/>
      <c r="K9" s="16"/>
      <c r="L9" s="16"/>
      <c r="M9" s="16"/>
      <c r="N9" s="35"/>
      <c r="O9" s="36"/>
      <c r="P9" s="36"/>
      <c r="Q9" s="16"/>
    </row>
    <row r="10" spans="1:19" ht="18.75" customHeight="1" x14ac:dyDescent="0.3">
      <c r="A10" s="13"/>
      <c r="B10" s="17" t="s">
        <v>57</v>
      </c>
      <c r="C10" s="15" t="s">
        <v>21</v>
      </c>
      <c r="D10" s="18">
        <v>418.06</v>
      </c>
      <c r="E10" s="47" t="s">
        <v>36</v>
      </c>
      <c r="F10" s="26">
        <f>4%*D10</f>
        <v>16.7224</v>
      </c>
      <c r="G10" s="26">
        <f>0%*D10</f>
        <v>0</v>
      </c>
      <c r="H10" s="26">
        <f>SUM(F10:G10)</f>
        <v>16.7224</v>
      </c>
      <c r="I10" s="19">
        <v>0</v>
      </c>
      <c r="J10" s="19"/>
      <c r="K10" s="19">
        <v>3</v>
      </c>
      <c r="L10" s="19">
        <v>4</v>
      </c>
      <c r="M10" s="20">
        <f>SUM(I10:L10)</f>
        <v>7</v>
      </c>
      <c r="N10" s="37"/>
      <c r="O10" s="36"/>
      <c r="P10" s="172">
        <f t="shared" ref="P10:P23" si="0">H10*400*70000*50%</f>
        <v>234113600</v>
      </c>
      <c r="Q10" s="16"/>
      <c r="R10" s="1" t="s">
        <v>333</v>
      </c>
      <c r="S10" s="1" t="s">
        <v>334</v>
      </c>
    </row>
    <row r="11" spans="1:19" ht="18.75" customHeight="1" x14ac:dyDescent="0.3">
      <c r="A11" s="13"/>
      <c r="B11" s="14"/>
      <c r="C11" s="15"/>
      <c r="D11" s="18"/>
      <c r="E11" s="47" t="s">
        <v>37</v>
      </c>
      <c r="F11" s="26">
        <f>4%*D10</f>
        <v>16.7224</v>
      </c>
      <c r="G11" s="26">
        <f>0%*D10</f>
        <v>0</v>
      </c>
      <c r="H11" s="26">
        <f>SUM(F11:G11)</f>
        <v>16.7224</v>
      </c>
      <c r="I11" s="19">
        <v>0</v>
      </c>
      <c r="J11" s="19"/>
      <c r="K11" s="19"/>
      <c r="L11" s="19">
        <v>3</v>
      </c>
      <c r="M11" s="20">
        <f t="shared" ref="M11:M23" si="1">SUM(I11:L11)</f>
        <v>3</v>
      </c>
      <c r="N11" s="37" t="s">
        <v>51</v>
      </c>
      <c r="O11" s="38" t="s">
        <v>50</v>
      </c>
      <c r="P11" s="172">
        <f t="shared" si="0"/>
        <v>234113600</v>
      </c>
      <c r="Q11" s="16"/>
    </row>
    <row r="12" spans="1:19" ht="18.75" customHeight="1" x14ac:dyDescent="0.3">
      <c r="A12" s="13"/>
      <c r="B12" s="14"/>
      <c r="C12" s="15"/>
      <c r="D12" s="18"/>
      <c r="E12" s="47" t="s">
        <v>38</v>
      </c>
      <c r="F12" s="26">
        <f>3%*D10</f>
        <v>12.5418</v>
      </c>
      <c r="G12" s="26">
        <f>0%*D10</f>
        <v>0</v>
      </c>
      <c r="H12" s="26">
        <f>SUM(F12:G12)</f>
        <v>12.5418</v>
      </c>
      <c r="I12" s="19">
        <v>0</v>
      </c>
      <c r="J12" s="19"/>
      <c r="K12" s="19">
        <v>3</v>
      </c>
      <c r="L12" s="19">
        <v>4</v>
      </c>
      <c r="M12" s="20">
        <f t="shared" si="1"/>
        <v>7</v>
      </c>
      <c r="N12" s="37" t="s">
        <v>51</v>
      </c>
      <c r="O12" s="36" t="s">
        <v>49</v>
      </c>
      <c r="P12" s="172">
        <f t="shared" si="0"/>
        <v>175585200</v>
      </c>
      <c r="Q12" s="16"/>
    </row>
    <row r="13" spans="1:19" ht="28.5" customHeight="1" x14ac:dyDescent="0.3">
      <c r="A13" s="13"/>
      <c r="B13" s="14"/>
      <c r="C13" s="15"/>
      <c r="D13" s="18"/>
      <c r="E13" s="48" t="s">
        <v>39</v>
      </c>
      <c r="F13" s="96">
        <f>20%*D10</f>
        <v>83.612000000000009</v>
      </c>
      <c r="G13" s="96">
        <f>0%*D10</f>
        <v>0</v>
      </c>
      <c r="H13" s="96">
        <f>SUM(F13:G13)</f>
        <v>83.612000000000009</v>
      </c>
      <c r="I13" s="97">
        <v>0</v>
      </c>
      <c r="J13" s="97">
        <v>0</v>
      </c>
      <c r="K13" s="97">
        <v>0</v>
      </c>
      <c r="L13" s="97">
        <v>3</v>
      </c>
      <c r="M13" s="121">
        <f t="shared" si="1"/>
        <v>3</v>
      </c>
      <c r="N13" s="39" t="s">
        <v>51</v>
      </c>
      <c r="O13" s="40" t="s">
        <v>48</v>
      </c>
      <c r="P13" s="172">
        <f t="shared" si="0"/>
        <v>1170568000</v>
      </c>
      <c r="Q13" s="16"/>
    </row>
    <row r="14" spans="1:19" ht="18.75" customHeight="1" x14ac:dyDescent="0.3">
      <c r="A14" s="13"/>
      <c r="B14" s="17" t="s">
        <v>58</v>
      </c>
      <c r="C14" s="15" t="s">
        <v>22</v>
      </c>
      <c r="D14" s="18">
        <v>827.82</v>
      </c>
      <c r="E14" s="47" t="s">
        <v>36</v>
      </c>
      <c r="F14" s="26">
        <f>5%*D14</f>
        <v>41.391000000000005</v>
      </c>
      <c r="G14" s="26">
        <f>1%*D14</f>
        <v>8.2782</v>
      </c>
      <c r="H14" s="26">
        <f>SUM(F14:G14)</f>
        <v>49.669200000000004</v>
      </c>
      <c r="I14" s="19">
        <v>0</v>
      </c>
      <c r="J14" s="19"/>
      <c r="K14" s="19">
        <v>5</v>
      </c>
      <c r="L14" s="19">
        <v>5</v>
      </c>
      <c r="M14" s="20">
        <f t="shared" si="1"/>
        <v>10</v>
      </c>
      <c r="N14" s="35" t="s">
        <v>51</v>
      </c>
      <c r="O14" s="41" t="s">
        <v>137</v>
      </c>
      <c r="P14" s="172">
        <f t="shared" si="0"/>
        <v>695368800</v>
      </c>
      <c r="Q14" s="16"/>
    </row>
    <row r="15" spans="1:19" ht="18.75" customHeight="1" x14ac:dyDescent="0.3">
      <c r="A15" s="13"/>
      <c r="B15" s="14"/>
      <c r="C15" s="15"/>
      <c r="D15" s="26"/>
      <c r="E15" s="47" t="s">
        <v>37</v>
      </c>
      <c r="F15" s="26">
        <f>3%*D14</f>
        <v>24.834600000000002</v>
      </c>
      <c r="G15" s="26">
        <f>2%*D14</f>
        <v>16.5564</v>
      </c>
      <c r="H15" s="26">
        <f t="shared" ref="H15:H17" si="2">SUM(F15:G15)</f>
        <v>41.391000000000005</v>
      </c>
      <c r="I15" s="19">
        <v>0</v>
      </c>
      <c r="J15" s="19"/>
      <c r="K15" s="19">
        <v>5</v>
      </c>
      <c r="L15" s="19">
        <v>5</v>
      </c>
      <c r="M15" s="20">
        <f t="shared" si="1"/>
        <v>10</v>
      </c>
      <c r="N15" s="35"/>
      <c r="O15" s="36"/>
      <c r="P15" s="172">
        <f t="shared" si="0"/>
        <v>579474000</v>
      </c>
      <c r="Q15" s="16"/>
    </row>
    <row r="16" spans="1:19" ht="18.75" customHeight="1" x14ac:dyDescent="0.3">
      <c r="A16" s="13"/>
      <c r="B16" s="14"/>
      <c r="C16" s="15"/>
      <c r="D16" s="26"/>
      <c r="E16" s="47" t="s">
        <v>38</v>
      </c>
      <c r="F16" s="26">
        <f>4%*D14</f>
        <v>33.1128</v>
      </c>
      <c r="G16" s="26">
        <f>3%*D14</f>
        <v>24.834600000000002</v>
      </c>
      <c r="H16" s="26">
        <f t="shared" si="2"/>
        <v>57.947400000000002</v>
      </c>
      <c r="I16" s="19">
        <v>0</v>
      </c>
      <c r="J16" s="19"/>
      <c r="K16" s="19">
        <v>5</v>
      </c>
      <c r="L16" s="19">
        <v>3</v>
      </c>
      <c r="M16" s="20">
        <f t="shared" si="1"/>
        <v>8</v>
      </c>
      <c r="N16" s="35"/>
      <c r="O16" s="36"/>
      <c r="P16" s="172">
        <f t="shared" si="0"/>
        <v>811263600</v>
      </c>
      <c r="Q16" s="16"/>
    </row>
    <row r="17" spans="1:17" ht="29.25" customHeight="1" x14ac:dyDescent="0.3">
      <c r="A17" s="54"/>
      <c r="B17" s="55"/>
      <c r="C17" s="56"/>
      <c r="D17" s="57"/>
      <c r="E17" s="58" t="s">
        <v>39</v>
      </c>
      <c r="F17" s="119">
        <f>6%*D14</f>
        <v>49.669200000000004</v>
      </c>
      <c r="G17" s="119">
        <f>8%*D14</f>
        <v>66.2256</v>
      </c>
      <c r="H17" s="119">
        <f t="shared" si="2"/>
        <v>115.8948</v>
      </c>
      <c r="I17" s="59">
        <v>0</v>
      </c>
      <c r="J17" s="59">
        <v>0</v>
      </c>
      <c r="K17" s="59">
        <v>0</v>
      </c>
      <c r="L17" s="59">
        <v>4</v>
      </c>
      <c r="M17" s="60">
        <f t="shared" si="1"/>
        <v>4</v>
      </c>
      <c r="N17" s="42"/>
      <c r="O17" s="38"/>
      <c r="P17" s="174">
        <f t="shared" si="0"/>
        <v>1622527200</v>
      </c>
      <c r="Q17" s="29"/>
    </row>
    <row r="18" spans="1:17" ht="15" customHeight="1" x14ac:dyDescent="0.3">
      <c r="A18" s="54"/>
      <c r="B18" s="55" t="s">
        <v>59</v>
      </c>
      <c r="C18" s="56" t="s">
        <v>27</v>
      </c>
      <c r="D18" s="18">
        <v>113.45</v>
      </c>
      <c r="E18" s="47" t="s">
        <v>36</v>
      </c>
      <c r="F18" s="26">
        <f>50%*D18</f>
        <v>56.725000000000001</v>
      </c>
      <c r="G18" s="26">
        <f>4%*D18</f>
        <v>4.5380000000000003</v>
      </c>
      <c r="H18" s="26">
        <f>SUM(F18:G18)</f>
        <v>61.263000000000005</v>
      </c>
      <c r="I18" s="19">
        <v>0</v>
      </c>
      <c r="J18" s="19"/>
      <c r="K18" s="19">
        <v>2</v>
      </c>
      <c r="L18" s="19"/>
      <c r="M18" s="20">
        <f t="shared" si="1"/>
        <v>2</v>
      </c>
      <c r="N18" s="42"/>
      <c r="O18" s="38"/>
      <c r="P18" s="172">
        <f t="shared" si="0"/>
        <v>857682000</v>
      </c>
      <c r="Q18" s="29"/>
    </row>
    <row r="19" spans="1:17" ht="15" customHeight="1" x14ac:dyDescent="0.3">
      <c r="A19" s="54"/>
      <c r="B19" s="55"/>
      <c r="C19" s="56"/>
      <c r="D19" s="26"/>
      <c r="E19" s="47" t="s">
        <v>37</v>
      </c>
      <c r="F19" s="26">
        <f>2%*D18</f>
        <v>2.2690000000000001</v>
      </c>
      <c r="G19" s="26">
        <f>5%*D18</f>
        <v>5.6725000000000003</v>
      </c>
      <c r="H19" s="26">
        <f t="shared" ref="H19:H20" si="3">SUM(F19:G19)</f>
        <v>7.9415000000000004</v>
      </c>
      <c r="I19" s="19">
        <v>0</v>
      </c>
      <c r="J19" s="19"/>
      <c r="K19" s="19">
        <v>2</v>
      </c>
      <c r="L19" s="19">
        <v>1</v>
      </c>
      <c r="M19" s="20">
        <f t="shared" si="1"/>
        <v>3</v>
      </c>
      <c r="N19" s="42"/>
      <c r="O19" s="38"/>
      <c r="P19" s="172">
        <f t="shared" si="0"/>
        <v>111181000.00000001</v>
      </c>
      <c r="Q19" s="29"/>
    </row>
    <row r="20" spans="1:17" ht="14.25" customHeight="1" x14ac:dyDescent="0.3">
      <c r="A20" s="54"/>
      <c r="B20" s="55"/>
      <c r="C20" s="56"/>
      <c r="D20" s="26"/>
      <c r="E20" s="47" t="s">
        <v>38</v>
      </c>
      <c r="F20" s="26">
        <f>2%*D18</f>
        <v>2.2690000000000001</v>
      </c>
      <c r="G20" s="26">
        <f>30%*D18</f>
        <v>34.034999999999997</v>
      </c>
      <c r="H20" s="26">
        <f t="shared" si="3"/>
        <v>36.303999999999995</v>
      </c>
      <c r="I20" s="19">
        <v>0</v>
      </c>
      <c r="J20" s="19"/>
      <c r="K20" s="19">
        <v>4</v>
      </c>
      <c r="L20" s="19">
        <v>1</v>
      </c>
      <c r="M20" s="20">
        <f t="shared" si="1"/>
        <v>5</v>
      </c>
      <c r="N20" s="42"/>
      <c r="O20" s="38"/>
      <c r="P20" s="172">
        <f t="shared" si="0"/>
        <v>508255999.99999994</v>
      </c>
      <c r="Q20" s="29"/>
    </row>
    <row r="21" spans="1:17" ht="18.75" customHeight="1" x14ac:dyDescent="0.3">
      <c r="A21" s="13"/>
      <c r="B21" s="17" t="s">
        <v>60</v>
      </c>
      <c r="C21" s="15" t="s">
        <v>42</v>
      </c>
      <c r="D21" s="18">
        <v>526.28</v>
      </c>
      <c r="E21" s="47" t="s">
        <v>36</v>
      </c>
      <c r="F21" s="26">
        <f>50%*D18</f>
        <v>56.725000000000001</v>
      </c>
      <c r="G21" s="26">
        <f>5%*D21</f>
        <v>26.314</v>
      </c>
      <c r="H21" s="26">
        <f>SUM(F21:G21)</f>
        <v>83.039000000000001</v>
      </c>
      <c r="I21" s="19">
        <v>0</v>
      </c>
      <c r="J21" s="19"/>
      <c r="K21" s="19"/>
      <c r="L21" s="19">
        <v>4</v>
      </c>
      <c r="M21" s="20">
        <f t="shared" si="1"/>
        <v>4</v>
      </c>
      <c r="N21" s="35"/>
      <c r="O21" s="36"/>
      <c r="P21" s="172">
        <f t="shared" si="0"/>
        <v>1162546000</v>
      </c>
      <c r="Q21" s="29"/>
    </row>
    <row r="22" spans="1:17" ht="18.75" customHeight="1" x14ac:dyDescent="0.3">
      <c r="A22" s="13"/>
      <c r="B22" s="14"/>
      <c r="C22" s="15"/>
      <c r="D22" s="26"/>
      <c r="E22" s="47" t="s">
        <v>37</v>
      </c>
      <c r="F22" s="26">
        <f>43%*D21</f>
        <v>226.3004</v>
      </c>
      <c r="G22" s="26">
        <f>3%*D21</f>
        <v>15.788399999999999</v>
      </c>
      <c r="H22" s="26">
        <f t="shared" ref="H22:H23" si="4">SUM(F22:G22)</f>
        <v>242.08879999999999</v>
      </c>
      <c r="I22" s="19">
        <v>0</v>
      </c>
      <c r="J22" s="19"/>
      <c r="K22" s="19"/>
      <c r="L22" s="19">
        <v>4</v>
      </c>
      <c r="M22" s="20">
        <f t="shared" si="1"/>
        <v>4</v>
      </c>
      <c r="N22" s="35"/>
      <c r="O22" s="36"/>
      <c r="P22" s="172">
        <f t="shared" si="0"/>
        <v>3389243199.9999995</v>
      </c>
      <c r="Q22" s="29"/>
    </row>
    <row r="23" spans="1:17" ht="18.75" customHeight="1" x14ac:dyDescent="0.3">
      <c r="A23" s="13"/>
      <c r="B23" s="14"/>
      <c r="C23" s="15"/>
      <c r="D23" s="26"/>
      <c r="E23" s="47" t="s">
        <v>38</v>
      </c>
      <c r="F23" s="26">
        <f>2%*D21</f>
        <v>10.525599999999999</v>
      </c>
      <c r="G23" s="26">
        <f>35%*D21</f>
        <v>184.19799999999998</v>
      </c>
      <c r="H23" s="26">
        <f t="shared" si="4"/>
        <v>194.72359999999998</v>
      </c>
      <c r="I23" s="19">
        <v>0</v>
      </c>
      <c r="J23" s="19"/>
      <c r="K23" s="19"/>
      <c r="L23" s="19">
        <v>3</v>
      </c>
      <c r="M23" s="20">
        <f t="shared" si="1"/>
        <v>3</v>
      </c>
      <c r="N23" s="80"/>
      <c r="O23" s="81"/>
      <c r="P23" s="172">
        <f t="shared" si="0"/>
        <v>2726130399.9999995</v>
      </c>
      <c r="Q23" s="88"/>
    </row>
    <row r="24" spans="1:17" ht="18.75" customHeight="1" x14ac:dyDescent="0.3">
      <c r="A24" s="89"/>
      <c r="B24" s="402" t="s">
        <v>325</v>
      </c>
      <c r="C24" s="403"/>
      <c r="D24" s="73">
        <f>SUM(D9:D17)</f>
        <v>1245.8800000000001</v>
      </c>
      <c r="E24" s="74"/>
      <c r="F24" s="118">
        <f>SUM(F9:F17)</f>
        <v>278.6062</v>
      </c>
      <c r="G24" s="118">
        <f>SUM(G9:G17)</f>
        <v>115.8948</v>
      </c>
      <c r="H24" s="118">
        <f>SUM(H9:H17)</f>
        <v>394.50100000000009</v>
      </c>
      <c r="I24" s="75">
        <f>SUM(I9:I17)</f>
        <v>0</v>
      </c>
      <c r="J24" s="75">
        <f>SUM(J9:J17)</f>
        <v>0</v>
      </c>
      <c r="K24" s="75">
        <f>SUM(K8:K23)</f>
        <v>29</v>
      </c>
      <c r="L24" s="160">
        <f>SUM(L10:L23)</f>
        <v>44</v>
      </c>
      <c r="M24" s="75">
        <f>SUM(M9:M17)</f>
        <v>52</v>
      </c>
      <c r="N24" s="76"/>
      <c r="O24" s="77"/>
      <c r="P24" s="173">
        <f>SUM(P10:P23)</f>
        <v>14278052600</v>
      </c>
      <c r="Q24" s="75"/>
    </row>
    <row r="25" spans="1:17" ht="18.75" customHeight="1" x14ac:dyDescent="0.3">
      <c r="A25" s="63">
        <v>2</v>
      </c>
      <c r="B25" s="64" t="s">
        <v>23</v>
      </c>
      <c r="C25" s="65"/>
      <c r="D25" s="66"/>
      <c r="E25" s="67"/>
      <c r="F25" s="68"/>
      <c r="G25" s="68"/>
      <c r="H25" s="68"/>
      <c r="I25" s="68"/>
      <c r="J25" s="68"/>
      <c r="K25" s="68"/>
      <c r="L25" s="68"/>
      <c r="M25" s="68"/>
      <c r="N25" s="69"/>
      <c r="O25" s="70"/>
      <c r="P25" s="70"/>
      <c r="Q25" s="68"/>
    </row>
    <row r="26" spans="1:17" ht="18.75" customHeight="1" x14ac:dyDescent="0.3">
      <c r="A26" s="13"/>
      <c r="B26" s="14" t="s">
        <v>57</v>
      </c>
      <c r="C26" s="15" t="s">
        <v>22</v>
      </c>
      <c r="D26" s="26">
        <v>202.18</v>
      </c>
      <c r="E26" s="47" t="s">
        <v>40</v>
      </c>
      <c r="F26" s="19">
        <v>0</v>
      </c>
      <c r="G26" s="19">
        <f>2%*D26</f>
        <v>4.0436000000000005</v>
      </c>
      <c r="H26" s="19">
        <f t="shared" ref="H26" si="5">SUM(F26:G26)</f>
        <v>4.0436000000000005</v>
      </c>
      <c r="I26" s="19">
        <v>0</v>
      </c>
      <c r="J26" s="19">
        <v>0</v>
      </c>
      <c r="K26" s="19">
        <v>0</v>
      </c>
      <c r="L26" s="19">
        <v>2</v>
      </c>
      <c r="M26" s="20">
        <f t="shared" ref="M26:M27" si="6">SUM(I26:L26)</f>
        <v>2</v>
      </c>
      <c r="N26" s="37" t="s">
        <v>51</v>
      </c>
      <c r="O26" s="404" t="s">
        <v>279</v>
      </c>
      <c r="P26" s="161">
        <f>H26*1000*50000*30%</f>
        <v>60654000.000000007</v>
      </c>
      <c r="Q26" s="16"/>
    </row>
    <row r="27" spans="1:17" ht="18.75" customHeight="1" x14ac:dyDescent="0.3">
      <c r="A27" s="54"/>
      <c r="B27" s="55"/>
      <c r="C27" s="56"/>
      <c r="D27" s="57"/>
      <c r="E27" s="85" t="s">
        <v>251</v>
      </c>
      <c r="F27" s="79"/>
      <c r="G27" s="79">
        <f>1.25%*D26</f>
        <v>2.5272500000000004</v>
      </c>
      <c r="H27" s="79">
        <f>F27+G27</f>
        <v>2.5272500000000004</v>
      </c>
      <c r="I27" s="19">
        <v>0</v>
      </c>
      <c r="J27" s="19">
        <v>0</v>
      </c>
      <c r="K27" s="19">
        <v>0</v>
      </c>
      <c r="L27" s="19">
        <v>0</v>
      </c>
      <c r="M27" s="20">
        <f t="shared" si="6"/>
        <v>0</v>
      </c>
      <c r="N27" s="37"/>
      <c r="O27" s="404"/>
      <c r="P27" s="161">
        <f>H27*1000*50000*30%</f>
        <v>37908750.000000007</v>
      </c>
      <c r="Q27" s="16"/>
    </row>
    <row r="28" spans="1:17" ht="18.75" customHeight="1" x14ac:dyDescent="0.3">
      <c r="A28" s="54"/>
      <c r="B28" s="55" t="s">
        <v>58</v>
      </c>
      <c r="C28" s="56" t="s">
        <v>42</v>
      </c>
      <c r="D28" s="57">
        <v>55</v>
      </c>
      <c r="E28" s="47" t="s">
        <v>40</v>
      </c>
      <c r="F28" s="19">
        <v>0</v>
      </c>
      <c r="G28" s="19">
        <f>9%*D28</f>
        <v>4.95</v>
      </c>
      <c r="H28" s="19">
        <f t="shared" ref="H28" si="7">SUM(F28:G28)</f>
        <v>4.95</v>
      </c>
      <c r="I28" s="19">
        <v>0</v>
      </c>
      <c r="J28" s="19"/>
      <c r="K28" s="19">
        <v>0</v>
      </c>
      <c r="L28" s="19">
        <v>0</v>
      </c>
      <c r="M28" s="20">
        <f t="shared" ref="M28:M30" si="8">SUM(I28:L28)</f>
        <v>0</v>
      </c>
      <c r="N28" s="37"/>
      <c r="O28" s="404"/>
      <c r="P28" s="161">
        <f>H28*1000*50000*30%</f>
        <v>74250000</v>
      </c>
      <c r="Q28" s="16"/>
    </row>
    <row r="29" spans="1:17" ht="18.75" customHeight="1" x14ac:dyDescent="0.3">
      <c r="A29" s="54"/>
      <c r="B29" s="55"/>
      <c r="C29" s="56"/>
      <c r="D29" s="57"/>
      <c r="E29" s="85" t="s">
        <v>250</v>
      </c>
      <c r="F29" s="79"/>
      <c r="G29" s="79">
        <f>1.25%*D28</f>
        <v>0.6875</v>
      </c>
      <c r="H29" s="79">
        <f>F29+G29</f>
        <v>0.6875</v>
      </c>
      <c r="I29" s="19">
        <v>0</v>
      </c>
      <c r="J29" s="19"/>
      <c r="K29" s="19"/>
      <c r="L29" s="19">
        <v>1</v>
      </c>
      <c r="M29" s="20">
        <f t="shared" si="8"/>
        <v>1</v>
      </c>
      <c r="N29" s="37"/>
      <c r="O29" s="404"/>
      <c r="P29" s="161">
        <f>H29*1000*50000*30%</f>
        <v>10312500</v>
      </c>
      <c r="Q29" s="16"/>
    </row>
    <row r="30" spans="1:17" ht="18.75" customHeight="1" x14ac:dyDescent="0.3">
      <c r="A30" s="54"/>
      <c r="B30" s="55" t="s">
        <v>59</v>
      </c>
      <c r="C30" s="56" t="s">
        <v>21</v>
      </c>
      <c r="D30" s="57">
        <v>66.94</v>
      </c>
      <c r="E30" s="47" t="s">
        <v>40</v>
      </c>
      <c r="F30" s="19">
        <v>0</v>
      </c>
      <c r="G30" s="19">
        <f>6%*D30</f>
        <v>4.0164</v>
      </c>
      <c r="H30" s="19">
        <f t="shared" ref="H30" si="9">SUM(F30:G30)</f>
        <v>4.0164</v>
      </c>
      <c r="I30" s="19">
        <v>0</v>
      </c>
      <c r="J30" s="19">
        <v>0</v>
      </c>
      <c r="K30" s="19">
        <v>0</v>
      </c>
      <c r="L30" s="19">
        <v>2</v>
      </c>
      <c r="M30" s="20">
        <f t="shared" si="8"/>
        <v>2</v>
      </c>
      <c r="N30" s="95"/>
      <c r="O30" s="399"/>
      <c r="P30" s="161">
        <f>H30*1000*50000*30%</f>
        <v>60246000</v>
      </c>
      <c r="Q30" s="87"/>
    </row>
    <row r="31" spans="1:17" ht="18.75" customHeight="1" x14ac:dyDescent="0.3">
      <c r="A31" s="89"/>
      <c r="B31" s="402" t="s">
        <v>326</v>
      </c>
      <c r="C31" s="403"/>
      <c r="D31" s="73">
        <f>SUM(D25:D30)</f>
        <v>324.12</v>
      </c>
      <c r="E31" s="74"/>
      <c r="F31" s="83">
        <f t="shared" ref="F31:K31" si="10">SUM(F25:F30)</f>
        <v>0</v>
      </c>
      <c r="G31" s="83">
        <f t="shared" si="10"/>
        <v>16.22475</v>
      </c>
      <c r="H31" s="83">
        <f t="shared" si="10"/>
        <v>16.22475</v>
      </c>
      <c r="I31" s="83">
        <f t="shared" si="10"/>
        <v>0</v>
      </c>
      <c r="J31" s="83">
        <f t="shared" si="10"/>
        <v>0</v>
      </c>
      <c r="K31" s="83">
        <f t="shared" si="10"/>
        <v>0</v>
      </c>
      <c r="L31" s="83"/>
      <c r="M31" s="83">
        <f>SUM(M25:M30)</f>
        <v>5</v>
      </c>
      <c r="N31" s="76"/>
      <c r="O31" s="77"/>
      <c r="P31" s="162">
        <f>SUM(P26:P30)</f>
        <v>243371250</v>
      </c>
      <c r="Q31" s="75"/>
    </row>
    <row r="32" spans="1:17" ht="18.75" customHeight="1" x14ac:dyDescent="0.3">
      <c r="A32" s="63">
        <v>3</v>
      </c>
      <c r="B32" s="64" t="s">
        <v>19</v>
      </c>
      <c r="C32" s="65"/>
      <c r="D32" s="66"/>
      <c r="E32" s="67"/>
      <c r="F32" s="82"/>
      <c r="G32" s="82"/>
      <c r="H32" s="82"/>
      <c r="I32" s="82"/>
      <c r="J32" s="82"/>
      <c r="K32" s="82"/>
      <c r="L32" s="82"/>
      <c r="M32" s="82"/>
      <c r="N32" s="69"/>
      <c r="O32" s="70"/>
      <c r="P32" s="70"/>
      <c r="Q32" s="68"/>
    </row>
    <row r="33" spans="1:17" ht="15.75" customHeight="1" x14ac:dyDescent="0.3">
      <c r="A33" s="13"/>
      <c r="B33" s="14" t="s">
        <v>57</v>
      </c>
      <c r="C33" s="15" t="s">
        <v>24</v>
      </c>
      <c r="D33" s="26">
        <f>1372.4+494</f>
        <v>1866.4</v>
      </c>
      <c r="E33" s="50" t="s">
        <v>52</v>
      </c>
      <c r="F33" s="19">
        <v>0</v>
      </c>
      <c r="G33" s="26">
        <f>15%*D33</f>
        <v>279.95999999999998</v>
      </c>
      <c r="H33" s="26">
        <f>SUM(F33:G33)</f>
        <v>279.95999999999998</v>
      </c>
      <c r="I33" s="19">
        <v>0</v>
      </c>
      <c r="J33" s="19"/>
      <c r="K33" s="19">
        <v>10</v>
      </c>
      <c r="L33" s="19">
        <v>2</v>
      </c>
      <c r="M33" s="19">
        <f>SUM(I33:L33)</f>
        <v>12</v>
      </c>
      <c r="N33" s="35" t="s">
        <v>262</v>
      </c>
      <c r="O33" s="36"/>
      <c r="P33" s="161">
        <f t="shared" ref="P33:P62" si="11">G33*0.815*26%*4000000</f>
        <v>237294095.99999997</v>
      </c>
      <c r="Q33" s="16"/>
    </row>
    <row r="34" spans="1:17" ht="15" customHeight="1" x14ac:dyDescent="0.3">
      <c r="A34" s="13"/>
      <c r="B34" s="14"/>
      <c r="C34" s="15"/>
      <c r="D34" s="26"/>
      <c r="E34" s="47" t="s">
        <v>234</v>
      </c>
      <c r="F34" s="26"/>
      <c r="G34" s="26">
        <f>10%*D33</f>
        <v>186.64000000000001</v>
      </c>
      <c r="H34" s="26">
        <f>F34+G34</f>
        <v>186.64000000000001</v>
      </c>
      <c r="I34" s="19">
        <v>0</v>
      </c>
      <c r="J34" s="19"/>
      <c r="K34" s="19">
        <v>0</v>
      </c>
      <c r="L34" s="19">
        <v>4</v>
      </c>
      <c r="M34" s="19">
        <f>SUM(I34:L34)</f>
        <v>4</v>
      </c>
      <c r="N34" s="35" t="s">
        <v>263</v>
      </c>
      <c r="O34" s="36"/>
      <c r="P34" s="161">
        <f t="shared" si="11"/>
        <v>158196064</v>
      </c>
      <c r="Q34" s="16"/>
    </row>
    <row r="35" spans="1:17" ht="18.75" customHeight="1" x14ac:dyDescent="0.3">
      <c r="A35" s="13"/>
      <c r="B35" s="14" t="s">
        <v>58</v>
      </c>
      <c r="C35" s="15" t="s">
        <v>25</v>
      </c>
      <c r="D35" s="26">
        <f>994.7+363.2</f>
        <v>1357.9</v>
      </c>
      <c r="E35" s="50" t="s">
        <v>52</v>
      </c>
      <c r="F35" s="19">
        <v>0</v>
      </c>
      <c r="G35" s="26">
        <f>9%*D35</f>
        <v>122.211</v>
      </c>
      <c r="H35" s="26">
        <f t="shared" ref="H35:H61" si="12">SUM(F35:G35)</f>
        <v>122.211</v>
      </c>
      <c r="I35" s="19">
        <v>0</v>
      </c>
      <c r="J35" s="19"/>
      <c r="K35" s="19">
        <v>0</v>
      </c>
      <c r="L35" s="19">
        <v>0</v>
      </c>
      <c r="M35" s="19">
        <f t="shared" ref="M35:M62" si="13">SUM(I35:L35)</f>
        <v>0</v>
      </c>
      <c r="N35" s="35" t="s">
        <v>264</v>
      </c>
      <c r="O35" s="36"/>
      <c r="P35" s="161">
        <f t="shared" si="11"/>
        <v>103586043.59999999</v>
      </c>
      <c r="Q35" s="16"/>
    </row>
    <row r="36" spans="1:17" ht="17.25" customHeight="1" x14ac:dyDescent="0.3">
      <c r="A36" s="13"/>
      <c r="B36" s="14" t="s">
        <v>59</v>
      </c>
      <c r="C36" s="15" t="s">
        <v>26</v>
      </c>
      <c r="D36" s="26">
        <f>976.5+338</f>
        <v>1314.5</v>
      </c>
      <c r="E36" s="50" t="s">
        <v>52</v>
      </c>
      <c r="F36" s="19">
        <v>0</v>
      </c>
      <c r="G36" s="26">
        <f>20%*D36</f>
        <v>262.90000000000003</v>
      </c>
      <c r="H36" s="26">
        <f t="shared" si="12"/>
        <v>262.90000000000003</v>
      </c>
      <c r="I36" s="19"/>
      <c r="J36" s="19"/>
      <c r="K36" s="19">
        <v>0</v>
      </c>
      <c r="L36" s="19">
        <v>5</v>
      </c>
      <c r="M36" s="19">
        <f t="shared" si="13"/>
        <v>5</v>
      </c>
      <c r="N36" s="35" t="s">
        <v>265</v>
      </c>
      <c r="O36" s="36" t="s">
        <v>266</v>
      </c>
      <c r="P36" s="161">
        <f t="shared" si="11"/>
        <v>222834040.00000003</v>
      </c>
      <c r="Q36" s="16"/>
    </row>
    <row r="37" spans="1:17" ht="15" customHeight="1" x14ac:dyDescent="0.3">
      <c r="A37" s="13"/>
      <c r="B37" s="14" t="s">
        <v>60</v>
      </c>
      <c r="C37" s="15" t="s">
        <v>55</v>
      </c>
      <c r="D37" s="26">
        <f>291.6+46.93</f>
        <v>338.53000000000003</v>
      </c>
      <c r="E37" s="50" t="s">
        <v>52</v>
      </c>
      <c r="F37" s="19">
        <v>0</v>
      </c>
      <c r="G37" s="26">
        <f>20%*D37</f>
        <v>67.706000000000003</v>
      </c>
      <c r="H37" s="26">
        <f t="shared" si="12"/>
        <v>67.706000000000003</v>
      </c>
      <c r="I37" s="19">
        <v>0</v>
      </c>
      <c r="J37" s="19">
        <v>0</v>
      </c>
      <c r="K37" s="19">
        <v>0</v>
      </c>
      <c r="L37" s="19">
        <v>0</v>
      </c>
      <c r="M37" s="19">
        <f t="shared" si="13"/>
        <v>0</v>
      </c>
      <c r="N37" s="35"/>
      <c r="O37" s="36" t="s">
        <v>267</v>
      </c>
      <c r="P37" s="161">
        <f t="shared" si="11"/>
        <v>57387605.600000001</v>
      </c>
      <c r="Q37" s="16"/>
    </row>
    <row r="38" spans="1:17" ht="18.75" customHeight="1" x14ac:dyDescent="0.3">
      <c r="A38" s="13"/>
      <c r="B38" s="14"/>
      <c r="C38" s="15"/>
      <c r="D38" s="26"/>
      <c r="E38" s="47" t="s">
        <v>235</v>
      </c>
      <c r="F38" s="26">
        <f>4%*D37</f>
        <v>13.541200000000002</v>
      </c>
      <c r="G38" s="26">
        <f>10%*D37</f>
        <v>33.853000000000002</v>
      </c>
      <c r="H38" s="26">
        <f>SUM(F38:G38)</f>
        <v>47.394200000000005</v>
      </c>
      <c r="I38" s="19"/>
      <c r="J38" s="19"/>
      <c r="K38" s="19"/>
      <c r="L38" s="19">
        <v>5</v>
      </c>
      <c r="M38" s="19">
        <f>SUM(I38:L38)</f>
        <v>5</v>
      </c>
      <c r="N38" s="35"/>
      <c r="O38" s="36" t="s">
        <v>268</v>
      </c>
      <c r="P38" s="161">
        <f t="shared" si="11"/>
        <v>28693802.800000001</v>
      </c>
      <c r="Q38" s="16"/>
    </row>
    <row r="39" spans="1:17" ht="15" customHeight="1" x14ac:dyDescent="0.3">
      <c r="A39" s="13"/>
      <c r="B39" s="14"/>
      <c r="C39" s="15"/>
      <c r="D39" s="26"/>
      <c r="E39" s="47" t="s">
        <v>234</v>
      </c>
      <c r="F39" s="26"/>
      <c r="G39" s="26">
        <f>15%*D37</f>
        <v>50.779500000000006</v>
      </c>
      <c r="H39" s="26">
        <f>F39+G39</f>
        <v>50.779500000000006</v>
      </c>
      <c r="I39" s="19"/>
      <c r="J39" s="19"/>
      <c r="K39" s="19"/>
      <c r="L39" s="19"/>
      <c r="M39" s="19"/>
      <c r="N39" s="35"/>
      <c r="O39" s="36" t="s">
        <v>269</v>
      </c>
      <c r="P39" s="161">
        <f t="shared" si="11"/>
        <v>43040704.20000001</v>
      </c>
      <c r="Q39" s="16"/>
    </row>
    <row r="40" spans="1:17" ht="14.25" customHeight="1" x14ac:dyDescent="0.3">
      <c r="A40" s="13"/>
      <c r="B40" s="14" t="s">
        <v>61</v>
      </c>
      <c r="C40" s="15" t="s">
        <v>27</v>
      </c>
      <c r="D40" s="26">
        <f>831.5+161.25</f>
        <v>992.75</v>
      </c>
      <c r="E40" s="50" t="s">
        <v>52</v>
      </c>
      <c r="F40" s="19">
        <v>0</v>
      </c>
      <c r="G40" s="26">
        <f>15%*D40</f>
        <v>148.91249999999999</v>
      </c>
      <c r="H40" s="26">
        <f t="shared" si="12"/>
        <v>148.91249999999999</v>
      </c>
      <c r="I40" s="19">
        <v>0</v>
      </c>
      <c r="J40" s="19">
        <v>0</v>
      </c>
      <c r="K40" s="19">
        <v>0</v>
      </c>
      <c r="L40" s="19">
        <v>7</v>
      </c>
      <c r="M40" s="19">
        <f t="shared" si="13"/>
        <v>7</v>
      </c>
      <c r="N40" s="35"/>
      <c r="O40" s="36" t="s">
        <v>270</v>
      </c>
      <c r="P40" s="161">
        <f t="shared" si="11"/>
        <v>126218235</v>
      </c>
      <c r="Q40" s="16"/>
    </row>
    <row r="41" spans="1:17" ht="15" customHeight="1" x14ac:dyDescent="0.3">
      <c r="A41" s="13"/>
      <c r="B41" s="14" t="s">
        <v>62</v>
      </c>
      <c r="C41" s="15" t="s">
        <v>28</v>
      </c>
      <c r="D41" s="26">
        <f>868+618.6</f>
        <v>1486.6</v>
      </c>
      <c r="E41" s="50" t="s">
        <v>52</v>
      </c>
      <c r="F41" s="19">
        <v>0</v>
      </c>
      <c r="G41" s="26">
        <f>20%*D41</f>
        <v>297.32</v>
      </c>
      <c r="H41" s="26">
        <f t="shared" si="12"/>
        <v>297.32</v>
      </c>
      <c r="I41" s="19">
        <v>0</v>
      </c>
      <c r="J41" s="19">
        <v>0</v>
      </c>
      <c r="K41" s="19">
        <v>5</v>
      </c>
      <c r="L41" s="19">
        <v>5</v>
      </c>
      <c r="M41" s="19">
        <f t="shared" si="13"/>
        <v>10</v>
      </c>
      <c r="N41" s="35"/>
      <c r="O41" s="36"/>
      <c r="P41" s="161">
        <f t="shared" si="11"/>
        <v>252008431.99999997</v>
      </c>
      <c r="Q41" s="16"/>
    </row>
    <row r="42" spans="1:17" ht="15" customHeight="1" x14ac:dyDescent="0.3">
      <c r="A42" s="13"/>
      <c r="B42" s="14" t="s">
        <v>63</v>
      </c>
      <c r="C42" s="15" t="s">
        <v>29</v>
      </c>
      <c r="D42" s="26">
        <f>1546+278.5</f>
        <v>1824.5</v>
      </c>
      <c r="E42" s="50" t="s">
        <v>52</v>
      </c>
      <c r="F42" s="19">
        <v>0</v>
      </c>
      <c r="G42" s="26">
        <f>21%*D42</f>
        <v>383.14499999999998</v>
      </c>
      <c r="H42" s="26">
        <f t="shared" si="12"/>
        <v>383.14499999999998</v>
      </c>
      <c r="I42" s="19">
        <v>0</v>
      </c>
      <c r="J42" s="19">
        <v>0</v>
      </c>
      <c r="K42" s="19">
        <v>0</v>
      </c>
      <c r="L42" s="19">
        <v>0</v>
      </c>
      <c r="M42" s="19">
        <f t="shared" si="13"/>
        <v>0</v>
      </c>
      <c r="N42" s="35"/>
      <c r="O42" s="36"/>
      <c r="P42" s="161">
        <f t="shared" si="11"/>
        <v>324753702</v>
      </c>
      <c r="Q42" s="16"/>
    </row>
    <row r="43" spans="1:17" ht="14.25" customHeight="1" x14ac:dyDescent="0.3">
      <c r="A43" s="13"/>
      <c r="B43" s="14" t="s">
        <v>64</v>
      </c>
      <c r="C43" s="15" t="s">
        <v>56</v>
      </c>
      <c r="D43" s="26">
        <f>156.4+34.9</f>
        <v>191.3</v>
      </c>
      <c r="E43" s="50" t="s">
        <v>52</v>
      </c>
      <c r="F43" s="19">
        <v>0</v>
      </c>
      <c r="G43" s="26">
        <f>10%*D43</f>
        <v>19.130000000000003</v>
      </c>
      <c r="H43" s="26">
        <f t="shared" si="12"/>
        <v>19.130000000000003</v>
      </c>
      <c r="I43" s="19">
        <v>0</v>
      </c>
      <c r="J43" s="19"/>
      <c r="K43" s="19"/>
      <c r="L43" s="19">
        <v>0</v>
      </c>
      <c r="M43" s="19">
        <f t="shared" si="13"/>
        <v>0</v>
      </c>
      <c r="N43" s="35"/>
      <c r="O43" s="36"/>
      <c r="P43" s="161">
        <f t="shared" si="11"/>
        <v>16214588.000000002</v>
      </c>
      <c r="Q43" s="16"/>
    </row>
    <row r="44" spans="1:17" ht="15" customHeight="1" x14ac:dyDescent="0.3">
      <c r="A44" s="13"/>
      <c r="B44" s="14" t="s">
        <v>65</v>
      </c>
      <c r="C44" s="15" t="s">
        <v>30</v>
      </c>
      <c r="D44" s="26">
        <f>1499.7+565.1</f>
        <v>2064.8000000000002</v>
      </c>
      <c r="E44" s="50" t="s">
        <v>52</v>
      </c>
      <c r="F44" s="19">
        <v>0</v>
      </c>
      <c r="G44" s="26">
        <f>10%*D44</f>
        <v>206.48000000000002</v>
      </c>
      <c r="H44" s="26">
        <f t="shared" si="12"/>
        <v>206.48000000000002</v>
      </c>
      <c r="I44" s="19">
        <v>0</v>
      </c>
      <c r="J44" s="19">
        <v>0</v>
      </c>
      <c r="K44" s="19">
        <v>0</v>
      </c>
      <c r="L44" s="19">
        <v>0</v>
      </c>
      <c r="M44" s="19">
        <f t="shared" si="13"/>
        <v>0</v>
      </c>
      <c r="N44" s="35"/>
      <c r="O44" s="36"/>
      <c r="P44" s="161">
        <f t="shared" si="11"/>
        <v>175012448</v>
      </c>
      <c r="Q44" s="16"/>
    </row>
    <row r="45" spans="1:17" ht="14.25" customHeight="1" x14ac:dyDescent="0.3">
      <c r="A45" s="13"/>
      <c r="B45" s="14" t="s">
        <v>66</v>
      </c>
      <c r="C45" s="15" t="s">
        <v>31</v>
      </c>
      <c r="D45" s="26">
        <f>1207+389</f>
        <v>1596</v>
      </c>
      <c r="E45" s="50" t="s">
        <v>52</v>
      </c>
      <c r="F45" s="19">
        <v>0</v>
      </c>
      <c r="G45" s="26">
        <f>10%*D45</f>
        <v>159.60000000000002</v>
      </c>
      <c r="H45" s="26">
        <f t="shared" si="12"/>
        <v>159.60000000000002</v>
      </c>
      <c r="I45" s="19">
        <v>0</v>
      </c>
      <c r="J45" s="19">
        <v>0</v>
      </c>
      <c r="K45" s="19">
        <v>0</v>
      </c>
      <c r="L45" s="19">
        <v>0</v>
      </c>
      <c r="M45" s="19">
        <f t="shared" si="13"/>
        <v>0</v>
      </c>
      <c r="N45" s="35"/>
      <c r="O45" s="36"/>
      <c r="P45" s="161">
        <f t="shared" si="11"/>
        <v>135276960.00000003</v>
      </c>
      <c r="Q45" s="16"/>
    </row>
    <row r="46" spans="1:17" ht="13.5" customHeight="1" x14ac:dyDescent="0.3">
      <c r="A46" s="13"/>
      <c r="B46" s="14" t="s">
        <v>67</v>
      </c>
      <c r="C46" s="15" t="s">
        <v>32</v>
      </c>
      <c r="D46" s="26">
        <f>998.9+79.5</f>
        <v>1078.4000000000001</v>
      </c>
      <c r="E46" s="50" t="s">
        <v>52</v>
      </c>
      <c r="F46" s="19">
        <v>0</v>
      </c>
      <c r="G46" s="26">
        <f>10%*D46</f>
        <v>107.84000000000002</v>
      </c>
      <c r="H46" s="26">
        <f t="shared" si="12"/>
        <v>107.84000000000002</v>
      </c>
      <c r="I46" s="19">
        <v>0</v>
      </c>
      <c r="J46" s="19">
        <v>0</v>
      </c>
      <c r="K46" s="19">
        <v>0</v>
      </c>
      <c r="L46" s="19">
        <v>0</v>
      </c>
      <c r="M46" s="19">
        <f t="shared" si="13"/>
        <v>0</v>
      </c>
      <c r="N46" s="35"/>
      <c r="O46" s="36"/>
      <c r="P46" s="161">
        <f t="shared" si="11"/>
        <v>91405184.000000015</v>
      </c>
      <c r="Q46" s="16"/>
    </row>
    <row r="47" spans="1:17" ht="15.75" customHeight="1" x14ac:dyDescent="0.3">
      <c r="A47" s="13"/>
      <c r="B47" s="14" t="s">
        <v>68</v>
      </c>
      <c r="C47" s="15" t="s">
        <v>33</v>
      </c>
      <c r="D47" s="26">
        <f>1304+57.5</f>
        <v>1361.5</v>
      </c>
      <c r="E47" s="50" t="s">
        <v>52</v>
      </c>
      <c r="F47" s="19">
        <v>0</v>
      </c>
      <c r="G47" s="26">
        <f>10%*D47</f>
        <v>136.15</v>
      </c>
      <c r="H47" s="26">
        <f t="shared" si="12"/>
        <v>136.15</v>
      </c>
      <c r="I47" s="19">
        <v>0</v>
      </c>
      <c r="J47" s="19"/>
      <c r="K47" s="19">
        <v>0</v>
      </c>
      <c r="L47" s="19">
        <v>0</v>
      </c>
      <c r="M47" s="19">
        <f t="shared" si="13"/>
        <v>0</v>
      </c>
      <c r="N47" s="35"/>
      <c r="O47" s="36"/>
      <c r="P47" s="161">
        <f t="shared" si="11"/>
        <v>115400740</v>
      </c>
      <c r="Q47" s="16"/>
    </row>
    <row r="48" spans="1:17" ht="14.25" customHeight="1" x14ac:dyDescent="0.3">
      <c r="A48" s="13"/>
      <c r="B48" s="14" t="s">
        <v>69</v>
      </c>
      <c r="C48" s="15" t="s">
        <v>34</v>
      </c>
      <c r="D48" s="26">
        <f>1784.1+362</f>
        <v>2146.1</v>
      </c>
      <c r="E48" s="50" t="s">
        <v>52</v>
      </c>
      <c r="F48" s="19">
        <v>0</v>
      </c>
      <c r="G48" s="26">
        <f>20%*D48</f>
        <v>429.22</v>
      </c>
      <c r="H48" s="26">
        <f t="shared" si="12"/>
        <v>429.22</v>
      </c>
      <c r="I48" s="19">
        <v>0</v>
      </c>
      <c r="J48" s="19"/>
      <c r="K48" s="19"/>
      <c r="L48" s="19">
        <v>6</v>
      </c>
      <c r="M48" s="19">
        <f t="shared" si="13"/>
        <v>6</v>
      </c>
      <c r="N48" s="35"/>
      <c r="O48" s="36"/>
      <c r="P48" s="161">
        <f t="shared" si="11"/>
        <v>363806872</v>
      </c>
      <c r="Q48" s="16"/>
    </row>
    <row r="49" spans="1:17" ht="13.5" customHeight="1" x14ac:dyDescent="0.3">
      <c r="A49" s="13"/>
      <c r="B49" s="14" t="s">
        <v>70</v>
      </c>
      <c r="C49" s="15" t="s">
        <v>35</v>
      </c>
      <c r="D49" s="26">
        <f>1557+181.5</f>
        <v>1738.5</v>
      </c>
      <c r="E49" s="50" t="s">
        <v>52</v>
      </c>
      <c r="F49" s="19">
        <v>0</v>
      </c>
      <c r="G49" s="26">
        <f>15%*D49</f>
        <v>260.77499999999998</v>
      </c>
      <c r="H49" s="26">
        <f t="shared" si="12"/>
        <v>260.77499999999998</v>
      </c>
      <c r="I49" s="19">
        <v>0</v>
      </c>
      <c r="J49" s="19">
        <v>0</v>
      </c>
      <c r="K49" s="19">
        <v>0</v>
      </c>
      <c r="L49" s="19">
        <v>0</v>
      </c>
      <c r="M49" s="19">
        <f t="shared" si="13"/>
        <v>0</v>
      </c>
      <c r="N49" s="35"/>
      <c r="O49" s="36"/>
      <c r="P49" s="161">
        <f t="shared" si="11"/>
        <v>221032889.99999997</v>
      </c>
      <c r="Q49" s="16"/>
    </row>
    <row r="50" spans="1:17" ht="18.75" customHeight="1" x14ac:dyDescent="0.3">
      <c r="A50" s="13"/>
      <c r="B50" s="14" t="s">
        <v>71</v>
      </c>
      <c r="C50" s="15" t="s">
        <v>21</v>
      </c>
      <c r="D50" s="26">
        <f>1940+114</f>
        <v>2054</v>
      </c>
      <c r="E50" s="50" t="s">
        <v>52</v>
      </c>
      <c r="F50" s="19">
        <v>0</v>
      </c>
      <c r="G50" s="26">
        <f>20%*D50</f>
        <v>410.8</v>
      </c>
      <c r="H50" s="26">
        <f t="shared" si="12"/>
        <v>410.8</v>
      </c>
      <c r="I50" s="19">
        <v>0</v>
      </c>
      <c r="J50" s="19">
        <v>0</v>
      </c>
      <c r="K50" s="19">
        <v>0</v>
      </c>
      <c r="L50" s="19">
        <v>0</v>
      </c>
      <c r="M50" s="19">
        <f t="shared" si="13"/>
        <v>0</v>
      </c>
      <c r="N50" s="35"/>
      <c r="O50" s="36"/>
      <c r="P50" s="161">
        <f t="shared" si="11"/>
        <v>348194080</v>
      </c>
      <c r="Q50" s="16"/>
    </row>
    <row r="51" spans="1:17" ht="14.25" customHeight="1" x14ac:dyDescent="0.3">
      <c r="A51" s="13"/>
      <c r="B51" s="14" t="s">
        <v>72</v>
      </c>
      <c r="C51" s="15" t="s">
        <v>42</v>
      </c>
      <c r="D51" s="26">
        <f>773.1+303.8</f>
        <v>1076.9000000000001</v>
      </c>
      <c r="E51" s="50" t="s">
        <v>52</v>
      </c>
      <c r="F51" s="19">
        <v>0</v>
      </c>
      <c r="G51" s="26">
        <f>20%*D51</f>
        <v>215.38000000000002</v>
      </c>
      <c r="H51" s="26">
        <f t="shared" si="12"/>
        <v>215.38000000000002</v>
      </c>
      <c r="I51" s="19">
        <v>0</v>
      </c>
      <c r="J51" s="19">
        <v>0</v>
      </c>
      <c r="K51" s="19">
        <v>0</v>
      </c>
      <c r="L51" s="19">
        <v>4</v>
      </c>
      <c r="M51" s="19">
        <f t="shared" si="13"/>
        <v>4</v>
      </c>
      <c r="N51" s="35"/>
      <c r="O51" s="36"/>
      <c r="P51" s="161">
        <f t="shared" si="11"/>
        <v>182556088.00000003</v>
      </c>
      <c r="Q51" s="16"/>
    </row>
    <row r="52" spans="1:17" ht="18" customHeight="1" x14ac:dyDescent="0.3">
      <c r="A52" s="13"/>
      <c r="B52" s="14" t="s">
        <v>73</v>
      </c>
      <c r="C52" s="15" t="s">
        <v>105</v>
      </c>
      <c r="D52" s="26">
        <f>153.8+8.7</f>
        <v>162.5</v>
      </c>
      <c r="E52" s="50" t="s">
        <v>52</v>
      </c>
      <c r="F52" s="19">
        <v>0</v>
      </c>
      <c r="G52" s="26">
        <f>15%*D52</f>
        <v>24.375</v>
      </c>
      <c r="H52" s="26">
        <f t="shared" si="12"/>
        <v>24.375</v>
      </c>
      <c r="I52" s="19">
        <v>0</v>
      </c>
      <c r="J52" s="19">
        <v>0</v>
      </c>
      <c r="K52" s="19">
        <v>0</v>
      </c>
      <c r="L52" s="19">
        <v>4</v>
      </c>
      <c r="M52" s="19">
        <f t="shared" si="13"/>
        <v>4</v>
      </c>
      <c r="N52" s="35"/>
      <c r="O52" s="36"/>
      <c r="P52" s="161">
        <f t="shared" si="11"/>
        <v>20660249.999999996</v>
      </c>
      <c r="Q52" s="16"/>
    </row>
    <row r="53" spans="1:17" ht="16.5" customHeight="1" x14ac:dyDescent="0.3">
      <c r="A53" s="13"/>
      <c r="B53" s="14" t="s">
        <v>74</v>
      </c>
      <c r="C53" s="15" t="s">
        <v>110</v>
      </c>
      <c r="D53" s="26">
        <f>695+48.2</f>
        <v>743.2</v>
      </c>
      <c r="E53" s="50" t="s">
        <v>52</v>
      </c>
      <c r="F53" s="19">
        <v>0</v>
      </c>
      <c r="G53" s="26">
        <f>10%*D53</f>
        <v>74.320000000000007</v>
      </c>
      <c r="H53" s="26">
        <f t="shared" si="12"/>
        <v>74.320000000000007</v>
      </c>
      <c r="I53" s="19">
        <v>0</v>
      </c>
      <c r="J53" s="19">
        <v>0</v>
      </c>
      <c r="K53" s="19">
        <v>0</v>
      </c>
      <c r="L53" s="19">
        <v>0</v>
      </c>
      <c r="M53" s="19">
        <f t="shared" si="13"/>
        <v>0</v>
      </c>
      <c r="N53" s="35"/>
      <c r="O53" s="36"/>
      <c r="P53" s="161">
        <f t="shared" si="11"/>
        <v>62993632.000000007</v>
      </c>
      <c r="Q53" s="16"/>
    </row>
    <row r="54" spans="1:17" ht="15.75" customHeight="1" x14ac:dyDescent="0.3">
      <c r="A54" s="13"/>
      <c r="B54" s="14" t="s">
        <v>75</v>
      </c>
      <c r="C54" s="15" t="s">
        <v>112</v>
      </c>
      <c r="D54" s="26">
        <f>375+14</f>
        <v>389</v>
      </c>
      <c r="E54" s="50" t="s">
        <v>52</v>
      </c>
      <c r="F54" s="19">
        <v>0</v>
      </c>
      <c r="G54" s="26">
        <f>15%*D54</f>
        <v>58.349999999999994</v>
      </c>
      <c r="H54" s="26">
        <f t="shared" si="12"/>
        <v>58.349999999999994</v>
      </c>
      <c r="I54" s="19">
        <v>0</v>
      </c>
      <c r="J54" s="19">
        <v>0</v>
      </c>
      <c r="K54" s="19">
        <v>0</v>
      </c>
      <c r="L54" s="19">
        <v>0</v>
      </c>
      <c r="M54" s="19">
        <f t="shared" si="13"/>
        <v>0</v>
      </c>
      <c r="N54" s="35"/>
      <c r="O54" s="36"/>
      <c r="P54" s="161">
        <f t="shared" si="11"/>
        <v>49457460</v>
      </c>
      <c r="Q54" s="16"/>
    </row>
    <row r="55" spans="1:17" ht="15.75" customHeight="1" x14ac:dyDescent="0.3">
      <c r="A55" s="13"/>
      <c r="B55" s="14" t="s">
        <v>104</v>
      </c>
      <c r="C55" s="15" t="s">
        <v>114</v>
      </c>
      <c r="D55" s="26">
        <f>73.5</f>
        <v>73.5</v>
      </c>
      <c r="E55" s="50" t="s">
        <v>52</v>
      </c>
      <c r="F55" s="19">
        <v>0</v>
      </c>
      <c r="G55" s="26">
        <f>10%*D55</f>
        <v>7.3500000000000005</v>
      </c>
      <c r="H55" s="26">
        <f t="shared" si="12"/>
        <v>7.3500000000000005</v>
      </c>
      <c r="I55" s="19">
        <v>0</v>
      </c>
      <c r="J55" s="19">
        <v>0</v>
      </c>
      <c r="K55" s="19">
        <v>0</v>
      </c>
      <c r="L55" s="19">
        <v>0</v>
      </c>
      <c r="M55" s="19">
        <f t="shared" si="13"/>
        <v>0</v>
      </c>
      <c r="N55" s="35"/>
      <c r="O55" s="36"/>
      <c r="P55" s="161">
        <f t="shared" si="11"/>
        <v>6229859.9999999991</v>
      </c>
      <c r="Q55" s="16"/>
    </row>
    <row r="56" spans="1:17" ht="14.25" customHeight="1" x14ac:dyDescent="0.3">
      <c r="A56" s="13"/>
      <c r="B56" s="14" t="s">
        <v>106</v>
      </c>
      <c r="C56" s="15" t="s">
        <v>22</v>
      </c>
      <c r="D56" s="26">
        <f>1130+101</f>
        <v>1231</v>
      </c>
      <c r="E56" s="50" t="s">
        <v>52</v>
      </c>
      <c r="F56" s="19">
        <v>0</v>
      </c>
      <c r="G56" s="26">
        <f>10%*D56</f>
        <v>123.10000000000001</v>
      </c>
      <c r="H56" s="26">
        <f t="shared" si="12"/>
        <v>123.10000000000001</v>
      </c>
      <c r="I56" s="19">
        <v>0</v>
      </c>
      <c r="J56" s="19">
        <v>0</v>
      </c>
      <c r="K56" s="19">
        <v>4</v>
      </c>
      <c r="L56" s="19">
        <v>0</v>
      </c>
      <c r="M56" s="19">
        <f t="shared" si="13"/>
        <v>4</v>
      </c>
      <c r="N56" s="35"/>
      <c r="O56" s="36"/>
      <c r="P56" s="161">
        <f t="shared" si="11"/>
        <v>104339560</v>
      </c>
      <c r="Q56" s="16"/>
    </row>
    <row r="57" spans="1:17" ht="15" customHeight="1" x14ac:dyDescent="0.3">
      <c r="A57" s="13"/>
      <c r="B57" s="14" t="s">
        <v>108</v>
      </c>
      <c r="C57" s="15" t="s">
        <v>180</v>
      </c>
      <c r="D57" s="26">
        <f>134.8+5</f>
        <v>139.80000000000001</v>
      </c>
      <c r="E57" s="47" t="s">
        <v>52</v>
      </c>
      <c r="F57" s="19">
        <v>0</v>
      </c>
      <c r="G57" s="26">
        <f>10%*D57</f>
        <v>13.980000000000002</v>
      </c>
      <c r="H57" s="26">
        <f t="shared" si="12"/>
        <v>13.980000000000002</v>
      </c>
      <c r="I57" s="19">
        <v>0</v>
      </c>
      <c r="J57" s="19">
        <v>0</v>
      </c>
      <c r="K57" s="19">
        <v>0</v>
      </c>
      <c r="L57" s="19">
        <v>0</v>
      </c>
      <c r="M57" s="19">
        <f t="shared" si="13"/>
        <v>0</v>
      </c>
      <c r="N57" s="35"/>
      <c r="O57" s="36"/>
      <c r="P57" s="161">
        <f t="shared" si="11"/>
        <v>11849448</v>
      </c>
      <c r="Q57" s="16"/>
    </row>
    <row r="58" spans="1:17" ht="16.5" customHeight="1" x14ac:dyDescent="0.3">
      <c r="A58" s="13"/>
      <c r="B58" s="14" t="s">
        <v>109</v>
      </c>
      <c r="C58" s="15" t="s">
        <v>43</v>
      </c>
      <c r="D58" s="26">
        <f>1189+216.6</f>
        <v>1405.6</v>
      </c>
      <c r="E58" s="50" t="s">
        <v>52</v>
      </c>
      <c r="F58" s="19">
        <v>0</v>
      </c>
      <c r="G58" s="26">
        <f>25%*D58</f>
        <v>351.4</v>
      </c>
      <c r="H58" s="26">
        <f t="shared" si="12"/>
        <v>351.4</v>
      </c>
      <c r="I58" s="19">
        <v>0</v>
      </c>
      <c r="J58" s="19">
        <v>0</v>
      </c>
      <c r="K58" s="19">
        <v>0</v>
      </c>
      <c r="L58" s="19">
        <v>0</v>
      </c>
      <c r="M58" s="19">
        <f t="shared" si="13"/>
        <v>0</v>
      </c>
      <c r="N58" s="35"/>
      <c r="O58" s="36"/>
      <c r="P58" s="161">
        <f t="shared" si="11"/>
        <v>297846640</v>
      </c>
      <c r="Q58" s="16"/>
    </row>
    <row r="59" spans="1:17" ht="14.25" customHeight="1" x14ac:dyDescent="0.3">
      <c r="A59" s="13"/>
      <c r="B59" s="55" t="s">
        <v>111</v>
      </c>
      <c r="C59" s="56" t="s">
        <v>44</v>
      </c>
      <c r="D59" s="57">
        <f>1396.6+127</f>
        <v>1523.6</v>
      </c>
      <c r="E59" s="78" t="s">
        <v>52</v>
      </c>
      <c r="F59" s="19">
        <v>0</v>
      </c>
      <c r="G59" s="26">
        <f>10%*D59</f>
        <v>152.35999999999999</v>
      </c>
      <c r="H59" s="26">
        <f t="shared" si="12"/>
        <v>152.35999999999999</v>
      </c>
      <c r="I59" s="19">
        <v>0</v>
      </c>
      <c r="J59" s="19">
        <v>0</v>
      </c>
      <c r="K59" s="19">
        <v>0</v>
      </c>
      <c r="L59" s="19">
        <v>10</v>
      </c>
      <c r="M59" s="19">
        <f t="shared" si="13"/>
        <v>10</v>
      </c>
      <c r="N59" s="35"/>
      <c r="O59" s="36"/>
      <c r="P59" s="161">
        <f t="shared" si="11"/>
        <v>129140335.99999999</v>
      </c>
      <c r="Q59" s="16"/>
    </row>
    <row r="60" spans="1:17" ht="14.25" customHeight="1" x14ac:dyDescent="0.3">
      <c r="A60" s="13"/>
      <c r="B60" s="14" t="s">
        <v>74</v>
      </c>
      <c r="C60" s="15" t="s">
        <v>43</v>
      </c>
      <c r="D60" s="26">
        <v>1189</v>
      </c>
      <c r="E60" s="50" t="s">
        <v>52</v>
      </c>
      <c r="F60" s="19">
        <v>0</v>
      </c>
      <c r="G60" s="26">
        <f>10%*D60</f>
        <v>118.9</v>
      </c>
      <c r="H60" s="26">
        <f t="shared" si="12"/>
        <v>118.9</v>
      </c>
      <c r="I60" s="19">
        <v>0</v>
      </c>
      <c r="J60" s="19"/>
      <c r="K60" s="19">
        <v>6</v>
      </c>
      <c r="L60" s="19">
        <v>5</v>
      </c>
      <c r="M60" s="19">
        <f t="shared" si="13"/>
        <v>11</v>
      </c>
      <c r="N60" s="35"/>
      <c r="O60" s="36"/>
      <c r="P60" s="161">
        <f t="shared" si="11"/>
        <v>100779640</v>
      </c>
      <c r="Q60" s="16"/>
    </row>
    <row r="61" spans="1:17" ht="18.75" customHeight="1" x14ac:dyDescent="0.3">
      <c r="A61" s="54"/>
      <c r="B61" s="55" t="s">
        <v>75</v>
      </c>
      <c r="C61" s="56" t="s">
        <v>44</v>
      </c>
      <c r="D61" s="57">
        <v>1391</v>
      </c>
      <c r="E61" s="78" t="s">
        <v>52</v>
      </c>
      <c r="F61" s="19">
        <v>0</v>
      </c>
      <c r="G61" s="26">
        <f>10%*D61</f>
        <v>139.1</v>
      </c>
      <c r="H61" s="26">
        <f t="shared" si="12"/>
        <v>139.1</v>
      </c>
      <c r="I61" s="19">
        <v>0</v>
      </c>
      <c r="J61" s="19"/>
      <c r="K61" s="19">
        <v>2</v>
      </c>
      <c r="L61" s="19">
        <v>9</v>
      </c>
      <c r="M61" s="19">
        <f t="shared" si="13"/>
        <v>11</v>
      </c>
      <c r="N61" s="35"/>
      <c r="O61" s="36"/>
      <c r="P61" s="161">
        <f t="shared" si="11"/>
        <v>117901159.99999999</v>
      </c>
      <c r="Q61" s="16"/>
    </row>
    <row r="62" spans="1:17" ht="14.25" customHeight="1" x14ac:dyDescent="0.3">
      <c r="A62" s="141"/>
      <c r="B62" s="117"/>
      <c r="C62" s="116"/>
      <c r="D62" s="109"/>
      <c r="E62" s="110" t="s">
        <v>223</v>
      </c>
      <c r="F62" s="90">
        <f>9%*D61</f>
        <v>125.19</v>
      </c>
      <c r="G62" s="90"/>
      <c r="H62" s="90">
        <f>SUM(F62:G62)</f>
        <v>125.19</v>
      </c>
      <c r="I62" s="19">
        <v>0</v>
      </c>
      <c r="J62" s="19">
        <v>0</v>
      </c>
      <c r="K62" s="19">
        <v>0</v>
      </c>
      <c r="L62" s="19">
        <v>9</v>
      </c>
      <c r="M62" s="19">
        <f t="shared" si="13"/>
        <v>9</v>
      </c>
      <c r="N62" s="80"/>
      <c r="O62" s="81"/>
      <c r="P62" s="161">
        <f t="shared" si="11"/>
        <v>0</v>
      </c>
      <c r="Q62" s="87"/>
    </row>
    <row r="63" spans="1:17" ht="25.5" customHeight="1" x14ac:dyDescent="0.3">
      <c r="A63" s="89"/>
      <c r="B63" s="72" t="s">
        <v>347</v>
      </c>
      <c r="C63" s="72"/>
      <c r="D63" s="84">
        <f>SUM(D33:D61)</f>
        <v>30736.879999999997</v>
      </c>
      <c r="E63" s="74"/>
      <c r="F63" s="83">
        <f>SUM(F40:F62)</f>
        <v>125.19</v>
      </c>
      <c r="G63" s="83">
        <f>SUM(G33:G62)</f>
        <v>4842.0370000000003</v>
      </c>
      <c r="H63" s="83">
        <f>SUM(H33:H62)</f>
        <v>4980.7681999999995</v>
      </c>
      <c r="I63" s="83">
        <f>SUM(I33:I62)</f>
        <v>0</v>
      </c>
      <c r="J63" s="83">
        <f>SUM(J33:J61)</f>
        <v>0</v>
      </c>
      <c r="K63" s="83">
        <f>SUM(K33:K61)</f>
        <v>27</v>
      </c>
      <c r="L63" s="83">
        <f>SUM(L33:L62)</f>
        <v>75</v>
      </c>
      <c r="M63" s="83">
        <f>SUM(M33:M61)</f>
        <v>93</v>
      </c>
      <c r="N63" s="76"/>
      <c r="O63" s="77"/>
      <c r="P63" s="162">
        <f>SUM(P33:P62)</f>
        <v>4104110561.1999998</v>
      </c>
      <c r="Q63" s="75"/>
    </row>
    <row r="64" spans="1:17" ht="18.75" customHeight="1" x14ac:dyDescent="0.3">
      <c r="A64" s="63">
        <v>4</v>
      </c>
      <c r="B64" s="64" t="s">
        <v>46</v>
      </c>
      <c r="C64" s="65"/>
      <c r="D64" s="66"/>
      <c r="E64" s="67"/>
      <c r="F64" s="82"/>
      <c r="G64" s="82"/>
      <c r="H64" s="82"/>
      <c r="I64" s="82"/>
      <c r="J64" s="82"/>
      <c r="K64" s="82"/>
      <c r="L64" s="82"/>
      <c r="M64" s="82"/>
      <c r="N64" s="69"/>
      <c r="O64" s="70"/>
      <c r="P64" s="70"/>
      <c r="Q64" s="68"/>
    </row>
    <row r="65" spans="1:17" ht="25.5" customHeight="1" x14ac:dyDescent="0.3">
      <c r="A65" s="102"/>
      <c r="B65" s="98" t="s">
        <v>57</v>
      </c>
      <c r="C65" s="99" t="s">
        <v>29</v>
      </c>
      <c r="D65" s="96">
        <v>175</v>
      </c>
      <c r="E65" s="101" t="s">
        <v>233</v>
      </c>
      <c r="F65" s="96"/>
      <c r="G65" s="96">
        <f>18%*D65</f>
        <v>31.5</v>
      </c>
      <c r="H65" s="96">
        <f>SUM(F65:G65)</f>
        <v>31.5</v>
      </c>
      <c r="I65" s="97">
        <v>0</v>
      </c>
      <c r="J65" s="97"/>
      <c r="K65" s="97">
        <v>0</v>
      </c>
      <c r="L65" s="97">
        <v>2</v>
      </c>
      <c r="M65" s="97">
        <f t="shared" ref="M65:M72" si="14">SUM(I65:L65)</f>
        <v>2</v>
      </c>
      <c r="N65" s="35" t="s">
        <v>51</v>
      </c>
      <c r="O65" s="36" t="s">
        <v>229</v>
      </c>
      <c r="P65" s="161">
        <f>G65*1.036*20%*6000000</f>
        <v>39160800</v>
      </c>
      <c r="Q65" s="16"/>
    </row>
    <row r="66" spans="1:17" ht="21.75" customHeight="1" x14ac:dyDescent="0.3">
      <c r="A66" s="13"/>
      <c r="B66" s="14" t="s">
        <v>58</v>
      </c>
      <c r="C66" s="15" t="s">
        <v>33</v>
      </c>
      <c r="D66" s="26">
        <v>368</v>
      </c>
      <c r="E66" s="47" t="s">
        <v>185</v>
      </c>
      <c r="F66" s="26">
        <f>0%*D66</f>
        <v>0</v>
      </c>
      <c r="G66" s="26">
        <f>18%*D66</f>
        <v>66.239999999999995</v>
      </c>
      <c r="H66" s="26">
        <f t="shared" ref="H66:H72" si="15">SUM(F66:G66)</f>
        <v>66.239999999999995</v>
      </c>
      <c r="I66" s="19">
        <v>0</v>
      </c>
      <c r="J66" s="19"/>
      <c r="K66" s="19">
        <v>0</v>
      </c>
      <c r="L66" s="19">
        <v>3</v>
      </c>
      <c r="M66" s="19">
        <f t="shared" si="14"/>
        <v>3</v>
      </c>
      <c r="N66" s="35" t="s">
        <v>51</v>
      </c>
      <c r="O66" s="36" t="s">
        <v>138</v>
      </c>
      <c r="P66" s="161">
        <f>G66*1.036*50%*6000000</f>
        <v>205873920</v>
      </c>
      <c r="Q66" s="16"/>
    </row>
    <row r="67" spans="1:17" ht="22.5" customHeight="1" x14ac:dyDescent="0.3">
      <c r="A67" s="13"/>
      <c r="B67" s="98" t="s">
        <v>59</v>
      </c>
      <c r="C67" s="99" t="s">
        <v>42</v>
      </c>
      <c r="D67" s="96">
        <v>774.98</v>
      </c>
      <c r="E67" s="101" t="s">
        <v>233</v>
      </c>
      <c r="F67" s="96">
        <f>0%*D67</f>
        <v>0</v>
      </c>
      <c r="G67" s="97">
        <f>13%*D67</f>
        <v>100.7474</v>
      </c>
      <c r="H67" s="96">
        <f t="shared" si="15"/>
        <v>100.7474</v>
      </c>
      <c r="I67" s="97">
        <v>0</v>
      </c>
      <c r="J67" s="97"/>
      <c r="K67" s="97">
        <v>0</v>
      </c>
      <c r="L67" s="97">
        <v>0</v>
      </c>
      <c r="M67" s="97">
        <f t="shared" si="14"/>
        <v>0</v>
      </c>
      <c r="N67" s="35"/>
      <c r="O67" s="36"/>
      <c r="P67" s="161">
        <f t="shared" ref="P67:P72" si="16">G67*1.036*20%*6000000</f>
        <v>125249167.68000002</v>
      </c>
      <c r="Q67" s="16"/>
    </row>
    <row r="68" spans="1:17" ht="25.5" customHeight="1" x14ac:dyDescent="0.3">
      <c r="A68" s="13"/>
      <c r="B68" s="98" t="s">
        <v>60</v>
      </c>
      <c r="C68" s="99" t="s">
        <v>21</v>
      </c>
      <c r="D68" s="96">
        <v>942.55</v>
      </c>
      <c r="E68" s="101" t="s">
        <v>186</v>
      </c>
      <c r="F68" s="96">
        <f>1%*D68</f>
        <v>9.4254999999999995</v>
      </c>
      <c r="G68" s="97">
        <f>7%*D68</f>
        <v>65.978499999999997</v>
      </c>
      <c r="H68" s="96">
        <f t="shared" si="15"/>
        <v>75.403999999999996</v>
      </c>
      <c r="I68" s="97">
        <v>0</v>
      </c>
      <c r="J68" s="97"/>
      <c r="K68" s="97">
        <v>0</v>
      </c>
      <c r="L68" s="97">
        <v>0</v>
      </c>
      <c r="M68" s="97">
        <f t="shared" si="14"/>
        <v>0</v>
      </c>
      <c r="N68" s="35"/>
      <c r="O68" s="36"/>
      <c r="P68" s="161">
        <f t="shared" si="16"/>
        <v>82024471.199999988</v>
      </c>
      <c r="Q68" s="16"/>
    </row>
    <row r="69" spans="1:17" ht="22.5" customHeight="1" x14ac:dyDescent="0.3">
      <c r="A69" s="13"/>
      <c r="B69" s="98"/>
      <c r="C69" s="99"/>
      <c r="D69" s="96"/>
      <c r="E69" s="101" t="s">
        <v>233</v>
      </c>
      <c r="F69" s="96"/>
      <c r="G69" s="96">
        <f>7%*D68</f>
        <v>65.978499999999997</v>
      </c>
      <c r="H69" s="96">
        <f>SUM(F69:G69)</f>
        <v>65.978499999999997</v>
      </c>
      <c r="I69" s="19">
        <v>0</v>
      </c>
      <c r="J69" s="19">
        <v>0</v>
      </c>
      <c r="K69" s="19">
        <v>0</v>
      </c>
      <c r="L69" s="19">
        <v>0</v>
      </c>
      <c r="M69" s="19">
        <f t="shared" si="14"/>
        <v>0</v>
      </c>
      <c r="N69" s="35"/>
      <c r="O69" s="36"/>
      <c r="P69" s="161">
        <f t="shared" si="16"/>
        <v>82024471.199999988</v>
      </c>
      <c r="Q69" s="16"/>
    </row>
    <row r="70" spans="1:17" ht="24" customHeight="1" x14ac:dyDescent="0.3">
      <c r="A70" s="16"/>
      <c r="B70" s="14" t="s">
        <v>61</v>
      </c>
      <c r="C70" s="15" t="s">
        <v>22</v>
      </c>
      <c r="D70" s="26">
        <v>1233.55</v>
      </c>
      <c r="E70" s="101" t="s">
        <v>233</v>
      </c>
      <c r="F70" s="26">
        <f>0%*D70</f>
        <v>0</v>
      </c>
      <c r="G70" s="19">
        <f>7%*D70</f>
        <v>86.348500000000001</v>
      </c>
      <c r="H70" s="26">
        <f t="shared" si="15"/>
        <v>86.348500000000001</v>
      </c>
      <c r="I70" s="19">
        <v>0</v>
      </c>
      <c r="J70" s="19"/>
      <c r="K70" s="19">
        <v>0</v>
      </c>
      <c r="L70" s="19">
        <v>1</v>
      </c>
      <c r="M70" s="19">
        <f t="shared" si="14"/>
        <v>1</v>
      </c>
      <c r="N70" s="35"/>
      <c r="O70" s="36"/>
      <c r="P70" s="161">
        <f t="shared" si="16"/>
        <v>107348455.20000002</v>
      </c>
      <c r="Q70" s="16"/>
    </row>
    <row r="71" spans="1:17" ht="21" customHeight="1" x14ac:dyDescent="0.3">
      <c r="A71" s="87"/>
      <c r="B71" s="55" t="s">
        <v>62</v>
      </c>
      <c r="C71" s="56" t="s">
        <v>43</v>
      </c>
      <c r="D71" s="57">
        <v>133</v>
      </c>
      <c r="E71" s="101" t="s">
        <v>233</v>
      </c>
      <c r="F71" s="26">
        <f>0%*D71</f>
        <v>0</v>
      </c>
      <c r="G71" s="19">
        <f>4%*D71</f>
        <v>5.32</v>
      </c>
      <c r="H71" s="26">
        <f t="shared" si="15"/>
        <v>5.32</v>
      </c>
      <c r="I71" s="19">
        <v>0</v>
      </c>
      <c r="J71" s="19"/>
      <c r="K71" s="19">
        <v>0</v>
      </c>
      <c r="L71" s="19">
        <v>2</v>
      </c>
      <c r="M71" s="19">
        <f t="shared" si="14"/>
        <v>2</v>
      </c>
      <c r="N71" s="35"/>
      <c r="O71" s="36"/>
      <c r="P71" s="161">
        <f t="shared" si="16"/>
        <v>6613824.0000000009</v>
      </c>
      <c r="Q71" s="16"/>
    </row>
    <row r="72" spans="1:17" ht="27.75" customHeight="1" x14ac:dyDescent="0.3">
      <c r="A72" s="16"/>
      <c r="B72" s="14" t="s">
        <v>63</v>
      </c>
      <c r="C72" s="15" t="s">
        <v>32</v>
      </c>
      <c r="D72" s="26">
        <v>298.5</v>
      </c>
      <c r="E72" s="101" t="s">
        <v>236</v>
      </c>
      <c r="F72" s="26">
        <f>0%*D72</f>
        <v>0</v>
      </c>
      <c r="G72" s="19">
        <f>3%*D72</f>
        <v>8.9550000000000001</v>
      </c>
      <c r="H72" s="26">
        <f t="shared" si="15"/>
        <v>8.9550000000000001</v>
      </c>
      <c r="I72" s="135">
        <v>0</v>
      </c>
      <c r="J72" s="135"/>
      <c r="K72" s="135">
        <v>0</v>
      </c>
      <c r="L72" s="135">
        <v>5</v>
      </c>
      <c r="M72" s="135">
        <f t="shared" si="14"/>
        <v>5</v>
      </c>
      <c r="N72" s="80"/>
      <c r="O72" s="81"/>
      <c r="P72" s="161">
        <f t="shared" si="16"/>
        <v>11132856.000000002</v>
      </c>
      <c r="Q72" s="87"/>
    </row>
    <row r="73" spans="1:17" ht="18.75" customHeight="1" x14ac:dyDescent="0.3">
      <c r="A73" s="75"/>
      <c r="B73" s="72" t="s">
        <v>348</v>
      </c>
      <c r="C73" s="72"/>
      <c r="D73" s="73">
        <f>SUM(D65:D72)</f>
        <v>3925.58</v>
      </c>
      <c r="E73" s="74"/>
      <c r="F73" s="73">
        <f t="shared" ref="F73:K73" si="17">SUM(F65:F72)</f>
        <v>9.4254999999999995</v>
      </c>
      <c r="G73" s="83">
        <f t="shared" si="17"/>
        <v>431.06789999999995</v>
      </c>
      <c r="H73" s="73">
        <f t="shared" si="17"/>
        <v>440.49339999999995</v>
      </c>
      <c r="I73" s="83">
        <f t="shared" si="17"/>
        <v>0</v>
      </c>
      <c r="J73" s="83">
        <f t="shared" si="17"/>
        <v>0</v>
      </c>
      <c r="K73" s="83">
        <f t="shared" si="17"/>
        <v>0</v>
      </c>
      <c r="L73" s="83">
        <f>SUM(L65:L72)</f>
        <v>13</v>
      </c>
      <c r="M73" s="83">
        <f>SUM(M65:M72)</f>
        <v>13</v>
      </c>
      <c r="N73" s="76"/>
      <c r="O73" s="77"/>
      <c r="P73" s="162">
        <f>SUM(P65:P72)</f>
        <v>659427965.27999997</v>
      </c>
      <c r="Q73" s="75"/>
    </row>
    <row r="74" spans="1:17" ht="16.5" customHeight="1" x14ac:dyDescent="0.3">
      <c r="A74" s="63">
        <v>5</v>
      </c>
      <c r="B74" s="64" t="s">
        <v>96</v>
      </c>
      <c r="C74" s="65"/>
      <c r="D74" s="66"/>
      <c r="E74" s="67"/>
      <c r="F74" s="66"/>
      <c r="G74" s="66"/>
      <c r="H74" s="66"/>
      <c r="I74" s="82"/>
      <c r="J74" s="82"/>
      <c r="K74" s="82"/>
      <c r="L74" s="82"/>
      <c r="M74" s="82"/>
      <c r="N74" s="69"/>
      <c r="O74" s="70"/>
      <c r="P74" s="70"/>
      <c r="Q74" s="68"/>
    </row>
    <row r="75" spans="1:17" ht="16.5" customHeight="1" x14ac:dyDescent="0.3">
      <c r="A75" s="16"/>
      <c r="B75" s="14" t="s">
        <v>57</v>
      </c>
      <c r="C75" s="15" t="s">
        <v>22</v>
      </c>
      <c r="D75" s="26">
        <v>9.5</v>
      </c>
      <c r="E75" s="47" t="s">
        <v>163</v>
      </c>
      <c r="F75" s="26">
        <f>10%*D75</f>
        <v>0.95000000000000007</v>
      </c>
      <c r="G75" s="26">
        <v>1</v>
      </c>
      <c r="H75" s="26">
        <f t="shared" ref="H75:H83" si="18">SUM(F75:G75)</f>
        <v>1.9500000000000002</v>
      </c>
      <c r="I75" s="19">
        <v>0</v>
      </c>
      <c r="J75" s="19"/>
      <c r="K75" s="19">
        <v>0</v>
      </c>
      <c r="L75" s="19">
        <v>1</v>
      </c>
      <c r="M75" s="19">
        <f>SUM(I75:L75)</f>
        <v>1</v>
      </c>
      <c r="N75" s="35"/>
      <c r="O75" s="36"/>
      <c r="P75" s="161">
        <f t="shared" ref="P75:P83" si="19">600*H75*40000*20%</f>
        <v>9360000</v>
      </c>
      <c r="Q75" s="16"/>
    </row>
    <row r="76" spans="1:17" ht="17.25" customHeight="1" x14ac:dyDescent="0.3">
      <c r="A76" s="16"/>
      <c r="B76" s="14" t="s">
        <v>58</v>
      </c>
      <c r="C76" s="15" t="s">
        <v>21</v>
      </c>
      <c r="D76" s="26">
        <v>18.11</v>
      </c>
      <c r="E76" s="47" t="s">
        <v>164</v>
      </c>
      <c r="F76" s="26">
        <f>11%*D76</f>
        <v>1.9921</v>
      </c>
      <c r="G76" s="26">
        <f>10%*D76</f>
        <v>1.8109999999999999</v>
      </c>
      <c r="H76" s="26">
        <f t="shared" si="18"/>
        <v>3.8030999999999997</v>
      </c>
      <c r="I76" s="19">
        <v>0</v>
      </c>
      <c r="J76" s="19"/>
      <c r="K76" s="19">
        <v>1</v>
      </c>
      <c r="L76" s="19">
        <v>1</v>
      </c>
      <c r="M76" s="19">
        <f t="shared" ref="M76:M83" si="20">SUM(I76:L76)</f>
        <v>2</v>
      </c>
      <c r="N76" s="35"/>
      <c r="O76" s="36" t="s">
        <v>50</v>
      </c>
      <c r="P76" s="161">
        <f t="shared" si="19"/>
        <v>18254879.999999996</v>
      </c>
      <c r="Q76" s="16"/>
    </row>
    <row r="77" spans="1:17" ht="16.5" customHeight="1" x14ac:dyDescent="0.3">
      <c r="A77" s="16"/>
      <c r="B77" s="14"/>
      <c r="C77" s="15"/>
      <c r="D77" s="26"/>
      <c r="E77" s="49" t="s">
        <v>187</v>
      </c>
      <c r="F77" s="96">
        <f>12%*D76</f>
        <v>2.1732</v>
      </c>
      <c r="G77" s="96">
        <v>0</v>
      </c>
      <c r="H77" s="96">
        <f t="shared" si="18"/>
        <v>2.1732</v>
      </c>
      <c r="I77" s="97">
        <v>0</v>
      </c>
      <c r="J77" s="97">
        <v>0</v>
      </c>
      <c r="K77" s="97">
        <v>0</v>
      </c>
      <c r="L77" s="97">
        <v>0</v>
      </c>
      <c r="M77" s="97">
        <f t="shared" si="20"/>
        <v>0</v>
      </c>
      <c r="N77" s="35"/>
      <c r="O77" s="36"/>
      <c r="P77" s="161">
        <f t="shared" si="19"/>
        <v>10431360</v>
      </c>
      <c r="Q77" s="16"/>
    </row>
    <row r="78" spans="1:17" ht="16.5" customHeight="1" x14ac:dyDescent="0.3">
      <c r="A78" s="16"/>
      <c r="B78" s="14" t="s">
        <v>59</v>
      </c>
      <c r="C78" s="15" t="s">
        <v>43</v>
      </c>
      <c r="D78" s="26">
        <v>19.79</v>
      </c>
      <c r="E78" s="47" t="s">
        <v>164</v>
      </c>
      <c r="F78" s="26">
        <f>9%*D78</f>
        <v>1.7810999999999999</v>
      </c>
      <c r="G78" s="26">
        <v>0</v>
      </c>
      <c r="H78" s="26">
        <f t="shared" si="18"/>
        <v>1.7810999999999999</v>
      </c>
      <c r="I78" s="19">
        <v>0</v>
      </c>
      <c r="J78" s="19"/>
      <c r="K78" s="19">
        <v>1</v>
      </c>
      <c r="L78" s="19">
        <v>0</v>
      </c>
      <c r="M78" s="19">
        <f t="shared" si="20"/>
        <v>1</v>
      </c>
      <c r="N78" s="35"/>
      <c r="O78" s="36" t="s">
        <v>137</v>
      </c>
      <c r="P78" s="161">
        <f t="shared" si="19"/>
        <v>8549279.9999999981</v>
      </c>
      <c r="Q78" s="16"/>
    </row>
    <row r="79" spans="1:17" ht="17.25" customHeight="1" x14ac:dyDescent="0.3">
      <c r="A79" s="16"/>
      <c r="B79" s="14" t="s">
        <v>60</v>
      </c>
      <c r="C79" s="15" t="s">
        <v>44</v>
      </c>
      <c r="D79" s="26">
        <v>30.5</v>
      </c>
      <c r="E79" s="47" t="s">
        <v>164</v>
      </c>
      <c r="F79" s="26">
        <f>9%*D79</f>
        <v>2.7450000000000001</v>
      </c>
      <c r="G79" s="26">
        <v>0</v>
      </c>
      <c r="H79" s="26">
        <f t="shared" si="18"/>
        <v>2.7450000000000001</v>
      </c>
      <c r="I79" s="19">
        <v>0</v>
      </c>
      <c r="J79" s="19">
        <v>0</v>
      </c>
      <c r="K79" s="19">
        <v>0</v>
      </c>
      <c r="L79" s="19">
        <v>0</v>
      </c>
      <c r="M79" s="19">
        <f t="shared" si="20"/>
        <v>0</v>
      </c>
      <c r="N79" s="35"/>
      <c r="O79" s="36" t="s">
        <v>145</v>
      </c>
      <c r="P79" s="161">
        <f t="shared" si="19"/>
        <v>13176000</v>
      </c>
      <c r="Q79" s="16"/>
    </row>
    <row r="80" spans="1:17" ht="15.75" customHeight="1" x14ac:dyDescent="0.3">
      <c r="A80" s="16"/>
      <c r="B80" s="14" t="s">
        <v>61</v>
      </c>
      <c r="C80" s="15" t="s">
        <v>33</v>
      </c>
      <c r="D80" s="26">
        <v>8.3000000000000007</v>
      </c>
      <c r="E80" s="47" t="s">
        <v>164</v>
      </c>
      <c r="F80" s="26">
        <f>9%*D80</f>
        <v>0.747</v>
      </c>
      <c r="G80" s="26">
        <v>0</v>
      </c>
      <c r="H80" s="26">
        <f t="shared" si="18"/>
        <v>0.747</v>
      </c>
      <c r="I80" s="19">
        <v>0</v>
      </c>
      <c r="J80" s="19">
        <v>0</v>
      </c>
      <c r="K80" s="19">
        <v>0</v>
      </c>
      <c r="L80" s="19">
        <v>0</v>
      </c>
      <c r="M80" s="19">
        <f t="shared" si="20"/>
        <v>0</v>
      </c>
      <c r="N80" s="35"/>
      <c r="O80" s="36" t="s">
        <v>146</v>
      </c>
      <c r="P80" s="161">
        <f t="shared" si="19"/>
        <v>3585600</v>
      </c>
      <c r="Q80" s="16"/>
    </row>
    <row r="81" spans="1:17" ht="17.25" customHeight="1" x14ac:dyDescent="0.3">
      <c r="A81" s="16"/>
      <c r="B81" s="14" t="s">
        <v>62</v>
      </c>
      <c r="C81" s="15" t="s">
        <v>32</v>
      </c>
      <c r="D81" s="26">
        <v>1.25</v>
      </c>
      <c r="E81" s="47" t="s">
        <v>164</v>
      </c>
      <c r="F81" s="26">
        <f>1%*D81</f>
        <v>1.2500000000000001E-2</v>
      </c>
      <c r="G81" s="26">
        <v>0</v>
      </c>
      <c r="H81" s="26">
        <f t="shared" si="18"/>
        <v>1.2500000000000001E-2</v>
      </c>
      <c r="I81" s="19">
        <v>0</v>
      </c>
      <c r="J81" s="19">
        <v>0</v>
      </c>
      <c r="K81" s="19">
        <v>0</v>
      </c>
      <c r="L81" s="19">
        <v>0</v>
      </c>
      <c r="M81" s="19">
        <f t="shared" si="20"/>
        <v>0</v>
      </c>
      <c r="N81" s="35"/>
      <c r="O81" s="36"/>
      <c r="P81" s="161">
        <f t="shared" si="19"/>
        <v>60000</v>
      </c>
      <c r="Q81" s="16"/>
    </row>
    <row r="82" spans="1:17" ht="16.5" customHeight="1" x14ac:dyDescent="0.3">
      <c r="A82" s="16"/>
      <c r="B82" s="14">
        <v>9</v>
      </c>
      <c r="C82" s="15" t="s">
        <v>30</v>
      </c>
      <c r="D82" s="26">
        <v>9.5</v>
      </c>
      <c r="E82" s="47" t="s">
        <v>164</v>
      </c>
      <c r="F82" s="26">
        <f>11%*D82</f>
        <v>1.0449999999999999</v>
      </c>
      <c r="G82" s="26">
        <v>0</v>
      </c>
      <c r="H82" s="26">
        <f t="shared" si="18"/>
        <v>1.0449999999999999</v>
      </c>
      <c r="I82" s="19">
        <v>0</v>
      </c>
      <c r="J82" s="19">
        <v>0</v>
      </c>
      <c r="K82" s="19">
        <v>0</v>
      </c>
      <c r="L82" s="19">
        <v>0</v>
      </c>
      <c r="M82" s="19">
        <f t="shared" si="20"/>
        <v>0</v>
      </c>
      <c r="N82" s="35"/>
      <c r="O82" s="36"/>
      <c r="P82" s="161">
        <f t="shared" si="19"/>
        <v>5016000</v>
      </c>
      <c r="Q82" s="16"/>
    </row>
    <row r="83" spans="1:17" ht="17.25" customHeight="1" x14ac:dyDescent="0.3">
      <c r="A83" s="87"/>
      <c r="B83" s="55" t="s">
        <v>64</v>
      </c>
      <c r="C83" s="56" t="s">
        <v>31</v>
      </c>
      <c r="D83" s="57">
        <v>6</v>
      </c>
      <c r="E83" s="85" t="s">
        <v>164</v>
      </c>
      <c r="F83" s="26">
        <f>14%*D83</f>
        <v>0.84000000000000008</v>
      </c>
      <c r="G83" s="26">
        <v>0</v>
      </c>
      <c r="H83" s="26">
        <f t="shared" si="18"/>
        <v>0.84000000000000008</v>
      </c>
      <c r="I83" s="79">
        <v>0</v>
      </c>
      <c r="J83" s="79">
        <v>0</v>
      </c>
      <c r="K83" s="79">
        <v>0</v>
      </c>
      <c r="L83" s="79">
        <v>0</v>
      </c>
      <c r="M83" s="79">
        <f t="shared" si="20"/>
        <v>0</v>
      </c>
      <c r="N83" s="80"/>
      <c r="O83" s="81"/>
      <c r="P83" s="161">
        <f t="shared" si="19"/>
        <v>4032000.0000000009</v>
      </c>
      <c r="Q83" s="87"/>
    </row>
    <row r="84" spans="1:17" ht="18.75" customHeight="1" x14ac:dyDescent="0.3">
      <c r="A84" s="75"/>
      <c r="B84" s="72" t="s">
        <v>349</v>
      </c>
      <c r="C84" s="72"/>
      <c r="D84" s="73">
        <f>SUM(D75:D83)</f>
        <v>102.95</v>
      </c>
      <c r="E84" s="74"/>
      <c r="F84" s="73">
        <f t="shared" ref="F84:K84" si="21">SUM(F75:F83)</f>
        <v>12.2859</v>
      </c>
      <c r="G84" s="73">
        <f t="shared" si="21"/>
        <v>2.8109999999999999</v>
      </c>
      <c r="H84" s="73">
        <f t="shared" si="21"/>
        <v>15.0969</v>
      </c>
      <c r="I84" s="83">
        <f t="shared" si="21"/>
        <v>0</v>
      </c>
      <c r="J84" s="83">
        <f t="shared" si="21"/>
        <v>0</v>
      </c>
      <c r="K84" s="83">
        <f t="shared" si="21"/>
        <v>2</v>
      </c>
      <c r="L84" s="83">
        <f>SUM(L74:L83)</f>
        <v>2</v>
      </c>
      <c r="M84" s="83">
        <f>SUM(M75:M83)</f>
        <v>4</v>
      </c>
      <c r="N84" s="76"/>
      <c r="O84" s="77"/>
      <c r="P84" s="162">
        <f>SUM(P75:P83)</f>
        <v>72465120</v>
      </c>
      <c r="Q84" s="75"/>
    </row>
    <row r="85" spans="1:17" ht="17.25" customHeight="1" x14ac:dyDescent="0.3">
      <c r="A85" s="103">
        <v>6</v>
      </c>
      <c r="B85" s="104" t="s">
        <v>116</v>
      </c>
      <c r="C85" s="104"/>
      <c r="D85" s="105"/>
      <c r="E85" s="106"/>
      <c r="F85" s="105"/>
      <c r="G85" s="107"/>
      <c r="H85" s="105"/>
      <c r="I85" s="107"/>
      <c r="J85" s="107"/>
      <c r="K85" s="107"/>
      <c r="L85" s="107"/>
      <c r="M85" s="107"/>
      <c r="N85" s="69"/>
      <c r="O85" s="70"/>
      <c r="P85" s="70"/>
      <c r="Q85" s="68"/>
    </row>
    <row r="86" spans="1:17" ht="20.25" customHeight="1" x14ac:dyDescent="0.3">
      <c r="A86" s="27"/>
      <c r="B86" s="152" t="s">
        <v>57</v>
      </c>
      <c r="C86" s="153" t="s">
        <v>30</v>
      </c>
      <c r="D86" s="154">
        <v>57.9</v>
      </c>
      <c r="E86" s="101" t="s">
        <v>188</v>
      </c>
      <c r="F86" s="154">
        <f>3%*D86</f>
        <v>1.7369999999999999</v>
      </c>
      <c r="G86" s="155">
        <v>0</v>
      </c>
      <c r="H86" s="154">
        <f t="shared" ref="H86:H90" si="22">SUM(F86:G86)</f>
        <v>1.7369999999999999</v>
      </c>
      <c r="I86" s="155">
        <v>0</v>
      </c>
      <c r="J86" s="155"/>
      <c r="K86" s="155"/>
      <c r="L86" s="155">
        <v>0</v>
      </c>
      <c r="M86" s="155">
        <f>SUM(I86:L86)</f>
        <v>0</v>
      </c>
      <c r="N86" s="156" t="s">
        <v>86</v>
      </c>
      <c r="O86" s="40" t="s">
        <v>271</v>
      </c>
      <c r="P86" s="176">
        <f>G86*0.347*30*16000000</f>
        <v>0</v>
      </c>
      <c r="Q86" s="27"/>
    </row>
    <row r="87" spans="1:17" ht="22.5" customHeight="1" x14ac:dyDescent="0.3">
      <c r="A87" s="16"/>
      <c r="B87" s="14" t="s">
        <v>58</v>
      </c>
      <c r="C87" s="15" t="s">
        <v>44</v>
      </c>
      <c r="D87" s="26">
        <v>84.65</v>
      </c>
      <c r="E87" s="47" t="s">
        <v>182</v>
      </c>
      <c r="F87" s="26">
        <f>4%*D87</f>
        <v>3.3860000000000001</v>
      </c>
      <c r="G87" s="19">
        <v>0</v>
      </c>
      <c r="H87" s="26">
        <f t="shared" si="22"/>
        <v>3.3860000000000001</v>
      </c>
      <c r="I87" s="19">
        <v>0</v>
      </c>
      <c r="J87" s="19"/>
      <c r="K87" s="19">
        <v>2</v>
      </c>
      <c r="L87" s="19">
        <v>0</v>
      </c>
      <c r="M87" s="19">
        <f t="shared" ref="M87:M90" si="23">SUM(I87:L87)</f>
        <v>2</v>
      </c>
      <c r="N87" s="35"/>
      <c r="O87" s="36" t="s">
        <v>272</v>
      </c>
      <c r="P87" s="176">
        <f>G87*0.347*30*16000000</f>
        <v>0</v>
      </c>
      <c r="Q87" s="16"/>
    </row>
    <row r="88" spans="1:17" ht="29.25" customHeight="1" x14ac:dyDescent="0.3">
      <c r="A88" s="16"/>
      <c r="B88" s="14"/>
      <c r="C88" s="15"/>
      <c r="D88" s="26"/>
      <c r="E88" s="101" t="s">
        <v>181</v>
      </c>
      <c r="F88" s="96">
        <f>9%*D87</f>
        <v>7.6185</v>
      </c>
      <c r="G88" s="97">
        <v>0</v>
      </c>
      <c r="H88" s="96">
        <f t="shared" si="22"/>
        <v>7.6185</v>
      </c>
      <c r="I88" s="97">
        <v>0</v>
      </c>
      <c r="J88" s="97"/>
      <c r="K88" s="97">
        <v>0</v>
      </c>
      <c r="L88" s="97">
        <v>0</v>
      </c>
      <c r="M88" s="97">
        <f>SUM(I88:L88)</f>
        <v>0</v>
      </c>
      <c r="N88" s="35"/>
      <c r="O88" s="159" t="s">
        <v>273</v>
      </c>
      <c r="P88" s="176">
        <f>G88*0.347*30*16000000</f>
        <v>0</v>
      </c>
      <c r="Q88" s="16"/>
    </row>
    <row r="89" spans="1:17" ht="27.75" customHeight="1" x14ac:dyDescent="0.3">
      <c r="A89" s="16"/>
      <c r="B89" s="14" t="s">
        <v>59</v>
      </c>
      <c r="C89" s="15" t="s">
        <v>33</v>
      </c>
      <c r="D89" s="26">
        <v>14.2</v>
      </c>
      <c r="E89" s="101" t="s">
        <v>181</v>
      </c>
      <c r="F89" s="26">
        <f>10%*D89</f>
        <v>1.42</v>
      </c>
      <c r="G89" s="19">
        <v>0</v>
      </c>
      <c r="H89" s="26">
        <f t="shared" si="22"/>
        <v>1.42</v>
      </c>
      <c r="I89" s="19">
        <v>0</v>
      </c>
      <c r="J89" s="19"/>
      <c r="K89" s="19"/>
      <c r="L89" s="19"/>
      <c r="M89" s="19">
        <f t="shared" si="23"/>
        <v>0</v>
      </c>
      <c r="N89" s="35" t="s">
        <v>88</v>
      </c>
      <c r="O89" s="36" t="s">
        <v>274</v>
      </c>
      <c r="P89" s="176">
        <f>G89*0.347*30*16000000</f>
        <v>0</v>
      </c>
      <c r="Q89" s="16"/>
    </row>
    <row r="90" spans="1:17" ht="48" customHeight="1" x14ac:dyDescent="0.3">
      <c r="A90" s="108"/>
      <c r="B90" s="128" t="s">
        <v>61</v>
      </c>
      <c r="C90" s="126" t="s">
        <v>35</v>
      </c>
      <c r="D90" s="127">
        <v>36.72</v>
      </c>
      <c r="E90" s="142" t="s">
        <v>183</v>
      </c>
      <c r="F90" s="127">
        <f>7%*D90</f>
        <v>2.5704000000000002</v>
      </c>
      <c r="G90" s="143">
        <v>0</v>
      </c>
      <c r="H90" s="127">
        <f t="shared" si="22"/>
        <v>2.5704000000000002</v>
      </c>
      <c r="I90" s="143">
        <v>0</v>
      </c>
      <c r="J90" s="143">
        <v>0</v>
      </c>
      <c r="K90" s="143">
        <v>0</v>
      </c>
      <c r="L90" s="143">
        <v>0</v>
      </c>
      <c r="M90" s="143">
        <f t="shared" si="23"/>
        <v>0</v>
      </c>
      <c r="N90" s="157" t="s">
        <v>254</v>
      </c>
      <c r="O90" s="158" t="s">
        <v>137</v>
      </c>
      <c r="P90" s="176">
        <f>G90*0.347*30*16000000</f>
        <v>0</v>
      </c>
      <c r="Q90" s="87"/>
    </row>
    <row r="91" spans="1:17" ht="14.25" customHeight="1" x14ac:dyDescent="0.3">
      <c r="A91" s="75"/>
      <c r="B91" s="136" t="s">
        <v>351</v>
      </c>
      <c r="C91" s="137"/>
      <c r="D91" s="138">
        <f>SUM(D86:D90)</f>
        <v>193.47</v>
      </c>
      <c r="E91" s="139"/>
      <c r="F91" s="138">
        <f t="shared" ref="F91:M91" si="24">SUM(F86:F90)</f>
        <v>16.7319</v>
      </c>
      <c r="G91" s="140">
        <f t="shared" si="24"/>
        <v>0</v>
      </c>
      <c r="H91" s="138">
        <f t="shared" si="24"/>
        <v>16.7319</v>
      </c>
      <c r="I91" s="140">
        <f t="shared" si="24"/>
        <v>0</v>
      </c>
      <c r="J91" s="140">
        <f t="shared" si="24"/>
        <v>0</v>
      </c>
      <c r="K91" s="140">
        <f t="shared" si="24"/>
        <v>2</v>
      </c>
      <c r="L91" s="140">
        <f t="shared" si="24"/>
        <v>0</v>
      </c>
      <c r="M91" s="140">
        <f t="shared" si="24"/>
        <v>2</v>
      </c>
      <c r="N91" s="76"/>
      <c r="O91" s="77"/>
      <c r="P91" s="162">
        <f>SUM(P86:P90)</f>
        <v>0</v>
      </c>
      <c r="Q91" s="75"/>
    </row>
    <row r="92" spans="1:17" ht="13.5" customHeight="1" x14ac:dyDescent="0.3">
      <c r="A92" s="63">
        <v>7</v>
      </c>
      <c r="B92" s="8" t="s">
        <v>117</v>
      </c>
      <c r="C92" s="10"/>
      <c r="D92" s="90"/>
      <c r="E92" s="67"/>
      <c r="F92" s="66"/>
      <c r="G92" s="82"/>
      <c r="H92" s="66"/>
      <c r="I92" s="82"/>
      <c r="J92" s="82"/>
      <c r="K92" s="82"/>
      <c r="L92" s="82"/>
      <c r="M92" s="82"/>
      <c r="N92" s="69"/>
      <c r="O92" s="70"/>
      <c r="P92" s="70"/>
      <c r="Q92" s="68"/>
    </row>
    <row r="93" spans="1:17" ht="24.75" customHeight="1" x14ac:dyDescent="0.3">
      <c r="A93" s="16"/>
      <c r="B93" s="14" t="s">
        <v>57</v>
      </c>
      <c r="C93" s="15" t="s">
        <v>22</v>
      </c>
      <c r="D93" s="26">
        <v>296.95</v>
      </c>
      <c r="E93" s="101" t="s">
        <v>203</v>
      </c>
      <c r="F93" s="96">
        <f>5%*D93</f>
        <v>14.8475</v>
      </c>
      <c r="G93" s="97">
        <v>0</v>
      </c>
      <c r="H93" s="96">
        <f t="shared" ref="H93:H101" si="25">SUM(F93:G93)</f>
        <v>14.8475</v>
      </c>
      <c r="I93" s="97">
        <v>0</v>
      </c>
      <c r="J93" s="97"/>
      <c r="K93" s="97">
        <v>0</v>
      </c>
      <c r="L93" s="97">
        <v>4</v>
      </c>
      <c r="M93" s="97">
        <f>SUM(I93:L93)</f>
        <v>4</v>
      </c>
      <c r="N93" s="35"/>
      <c r="O93" s="40" t="s">
        <v>211</v>
      </c>
      <c r="P93" s="167">
        <f t="shared" ref="P93:P102" si="26">G93*0.3*30%*50000000</f>
        <v>0</v>
      </c>
      <c r="Q93" s="16"/>
    </row>
    <row r="94" spans="1:17" ht="15" customHeight="1" x14ac:dyDescent="0.3">
      <c r="A94" s="16"/>
      <c r="B94" s="14"/>
      <c r="C94" s="15"/>
      <c r="D94" s="26"/>
      <c r="E94" s="101" t="s">
        <v>220</v>
      </c>
      <c r="F94" s="96">
        <f>2%*D93</f>
        <v>5.9390000000000001</v>
      </c>
      <c r="G94" s="97"/>
      <c r="H94" s="96">
        <f>SUM(F94:G94)</f>
        <v>5.9390000000000001</v>
      </c>
      <c r="I94" s="97">
        <v>0</v>
      </c>
      <c r="J94" s="97"/>
      <c r="K94" s="97">
        <v>0</v>
      </c>
      <c r="L94" s="97">
        <v>4</v>
      </c>
      <c r="M94" s="97">
        <f>SUM(I94:L94)</f>
        <v>4</v>
      </c>
      <c r="N94" s="35"/>
      <c r="O94" s="40"/>
      <c r="P94" s="167">
        <f t="shared" si="26"/>
        <v>0</v>
      </c>
      <c r="Q94" s="16"/>
    </row>
    <row r="95" spans="1:17" ht="32.25" customHeight="1" x14ac:dyDescent="0.3">
      <c r="A95" s="16"/>
      <c r="B95" s="14" t="s">
        <v>58</v>
      </c>
      <c r="C95" s="15" t="s">
        <v>42</v>
      </c>
      <c r="D95" s="26">
        <v>248.5</v>
      </c>
      <c r="E95" s="101" t="s">
        <v>203</v>
      </c>
      <c r="F95" s="96">
        <f>5%*D95</f>
        <v>12.425000000000001</v>
      </c>
      <c r="G95" s="97">
        <v>0</v>
      </c>
      <c r="H95" s="96">
        <f t="shared" si="25"/>
        <v>12.425000000000001</v>
      </c>
      <c r="I95" s="97">
        <v>0</v>
      </c>
      <c r="J95" s="97"/>
      <c r="K95" s="97">
        <v>0</v>
      </c>
      <c r="L95" s="97">
        <v>4</v>
      </c>
      <c r="M95" s="97">
        <f>SUM(I95:L95)</f>
        <v>4</v>
      </c>
      <c r="N95" s="35"/>
      <c r="O95" s="40" t="s">
        <v>137</v>
      </c>
      <c r="P95" s="167">
        <f t="shared" si="26"/>
        <v>0</v>
      </c>
      <c r="Q95" s="16"/>
    </row>
    <row r="96" spans="1:17" ht="14.25" customHeight="1" x14ac:dyDescent="0.3">
      <c r="A96" s="16"/>
      <c r="B96" s="14"/>
      <c r="C96" s="15"/>
      <c r="D96" s="26"/>
      <c r="E96" s="101" t="s">
        <v>220</v>
      </c>
      <c r="F96" s="96">
        <f>8%*D95</f>
        <v>19.88</v>
      </c>
      <c r="G96" s="97"/>
      <c r="H96" s="96">
        <f>SUM(F96:G96)</f>
        <v>19.88</v>
      </c>
      <c r="I96" s="97"/>
      <c r="J96" s="97"/>
      <c r="K96" s="97"/>
      <c r="L96" s="97"/>
      <c r="M96" s="97"/>
      <c r="N96" s="35"/>
      <c r="O96" s="40"/>
      <c r="P96" s="167">
        <f t="shared" si="26"/>
        <v>0</v>
      </c>
      <c r="Q96" s="16"/>
    </row>
    <row r="97" spans="1:17" ht="22.5" customHeight="1" x14ac:dyDescent="0.3">
      <c r="A97" s="16"/>
      <c r="B97" s="14" t="s">
        <v>59</v>
      </c>
      <c r="C97" s="15" t="s">
        <v>21</v>
      </c>
      <c r="D97" s="18">
        <v>156.94999999999999</v>
      </c>
      <c r="E97" s="101" t="s">
        <v>203</v>
      </c>
      <c r="F97" s="145"/>
      <c r="G97" s="146">
        <v>5</v>
      </c>
      <c r="H97" s="96">
        <f t="shared" si="25"/>
        <v>5</v>
      </c>
      <c r="I97" s="97">
        <v>0</v>
      </c>
      <c r="J97" s="97"/>
      <c r="K97" s="97">
        <v>0</v>
      </c>
      <c r="L97" s="97">
        <v>2</v>
      </c>
      <c r="M97" s="97">
        <f>SUM(I97:L97)</f>
        <v>2</v>
      </c>
      <c r="N97" s="35"/>
      <c r="O97" s="36"/>
      <c r="P97" s="167">
        <f t="shared" si="26"/>
        <v>22499999.999999996</v>
      </c>
      <c r="Q97" s="16"/>
    </row>
    <row r="98" spans="1:17" ht="15.75" customHeight="1" x14ac:dyDescent="0.3">
      <c r="A98" s="16"/>
      <c r="B98" s="14"/>
      <c r="C98" s="15"/>
      <c r="D98" s="18"/>
      <c r="E98" s="101" t="s">
        <v>220</v>
      </c>
      <c r="F98" s="96">
        <f>8%*D97</f>
        <v>12.555999999999999</v>
      </c>
      <c r="G98" s="97"/>
      <c r="H98" s="96">
        <f>SUM(F98:G98)</f>
        <v>12.555999999999999</v>
      </c>
      <c r="I98" s="97"/>
      <c r="J98" s="97"/>
      <c r="K98" s="97"/>
      <c r="L98" s="97"/>
      <c r="M98" s="97"/>
      <c r="N98" s="35"/>
      <c r="O98" s="36"/>
      <c r="P98" s="167">
        <f t="shared" si="26"/>
        <v>0</v>
      </c>
      <c r="Q98" s="16"/>
    </row>
    <row r="99" spans="1:17" ht="24" customHeight="1" x14ac:dyDescent="0.3">
      <c r="A99" s="16"/>
      <c r="B99" s="14" t="s">
        <v>60</v>
      </c>
      <c r="C99" s="15" t="s">
        <v>43</v>
      </c>
      <c r="D99" s="26">
        <v>455.8</v>
      </c>
      <c r="E99" s="101" t="s">
        <v>221</v>
      </c>
      <c r="F99" s="96">
        <f>7%*D99</f>
        <v>31.906000000000002</v>
      </c>
      <c r="G99" s="97">
        <v>0</v>
      </c>
      <c r="H99" s="96">
        <f t="shared" si="25"/>
        <v>31.906000000000002</v>
      </c>
      <c r="I99" s="97">
        <v>0</v>
      </c>
      <c r="J99" s="97"/>
      <c r="K99" s="97">
        <v>0</v>
      </c>
      <c r="L99" s="97">
        <v>5</v>
      </c>
      <c r="M99" s="97">
        <f>SUM(I99:L99)</f>
        <v>5</v>
      </c>
      <c r="N99" s="35"/>
      <c r="O99" s="36"/>
      <c r="P99" s="167">
        <f t="shared" si="26"/>
        <v>0</v>
      </c>
      <c r="Q99" s="16"/>
    </row>
    <row r="100" spans="1:17" ht="20.25" customHeight="1" x14ac:dyDescent="0.3">
      <c r="A100" s="16"/>
      <c r="B100" s="14"/>
      <c r="C100" s="15"/>
      <c r="D100" s="26"/>
      <c r="E100" s="101" t="s">
        <v>220</v>
      </c>
      <c r="F100" s="96"/>
      <c r="G100" s="96">
        <f>13%*D99</f>
        <v>59.254000000000005</v>
      </c>
      <c r="H100" s="96">
        <f>SUM(F100:G100)</f>
        <v>59.254000000000005</v>
      </c>
      <c r="I100" s="97"/>
      <c r="J100" s="97"/>
      <c r="K100" s="97"/>
      <c r="L100" s="97"/>
      <c r="M100" s="97"/>
      <c r="N100" s="35"/>
      <c r="O100" s="36"/>
      <c r="P100" s="167">
        <f t="shared" si="26"/>
        <v>266642999.99999997</v>
      </c>
      <c r="Q100" s="16"/>
    </row>
    <row r="101" spans="1:17" ht="23.25" customHeight="1" x14ac:dyDescent="0.3">
      <c r="A101" s="16"/>
      <c r="B101" s="14" t="s">
        <v>61</v>
      </c>
      <c r="C101" s="15" t="s">
        <v>44</v>
      </c>
      <c r="D101" s="26">
        <v>87.95</v>
      </c>
      <c r="E101" s="101" t="s">
        <v>203</v>
      </c>
      <c r="F101" s="26">
        <f>9%*D101</f>
        <v>7.9154999999999998</v>
      </c>
      <c r="G101" s="19">
        <v>0</v>
      </c>
      <c r="H101" s="26">
        <f t="shared" si="25"/>
        <v>7.9154999999999998</v>
      </c>
      <c r="I101" s="19">
        <v>0</v>
      </c>
      <c r="J101" s="19"/>
      <c r="K101" s="19">
        <v>6</v>
      </c>
      <c r="L101" s="19">
        <v>0</v>
      </c>
      <c r="M101" s="19">
        <f t="shared" ref="M101:M103" si="27">SUM(I101:L101)</f>
        <v>6</v>
      </c>
      <c r="N101" s="35"/>
      <c r="O101" s="36"/>
      <c r="P101" s="167">
        <f t="shared" si="26"/>
        <v>0</v>
      </c>
      <c r="Q101" s="16"/>
    </row>
    <row r="102" spans="1:17" ht="18.75" customHeight="1" x14ac:dyDescent="0.3">
      <c r="A102" s="16"/>
      <c r="B102" s="14"/>
      <c r="C102" s="15"/>
      <c r="D102" s="26"/>
      <c r="E102" s="101" t="s">
        <v>220</v>
      </c>
      <c r="F102" s="26"/>
      <c r="G102" s="26">
        <f>9%*D101</f>
        <v>7.9154999999999998</v>
      </c>
      <c r="H102" s="26">
        <f>SUM(F102:G102)</f>
        <v>7.9154999999999998</v>
      </c>
      <c r="I102" s="97">
        <v>0</v>
      </c>
      <c r="J102" s="97">
        <v>0</v>
      </c>
      <c r="K102" s="97">
        <v>0</v>
      </c>
      <c r="L102" s="97">
        <v>0</v>
      </c>
      <c r="M102" s="97">
        <f t="shared" si="27"/>
        <v>0</v>
      </c>
      <c r="N102" s="35"/>
      <c r="O102" s="36"/>
      <c r="P102" s="167">
        <f t="shared" si="26"/>
        <v>35619750</v>
      </c>
      <c r="Q102" s="16"/>
    </row>
    <row r="103" spans="1:17" ht="7.5" customHeight="1" x14ac:dyDescent="0.3">
      <c r="A103" s="87"/>
      <c r="B103" s="55"/>
      <c r="C103" s="56"/>
      <c r="D103" s="57"/>
      <c r="E103" s="132"/>
      <c r="F103" s="124"/>
      <c r="G103" s="124"/>
      <c r="H103" s="124">
        <f>SUM(F103:G103)</f>
        <v>0</v>
      </c>
      <c r="I103" s="133">
        <v>0</v>
      </c>
      <c r="J103" s="133">
        <v>0</v>
      </c>
      <c r="K103" s="133">
        <v>0</v>
      </c>
      <c r="L103" s="133">
        <v>0</v>
      </c>
      <c r="M103" s="133">
        <f t="shared" si="27"/>
        <v>0</v>
      </c>
      <c r="N103" s="80"/>
      <c r="O103" s="81"/>
      <c r="P103" s="171"/>
      <c r="Q103" s="87"/>
    </row>
    <row r="104" spans="1:17" ht="18.75" customHeight="1" x14ac:dyDescent="0.3">
      <c r="A104" s="75"/>
      <c r="B104" s="72" t="s">
        <v>350</v>
      </c>
      <c r="C104" s="72"/>
      <c r="D104" s="73">
        <f>SUM(D93:D103)</f>
        <v>1246.1500000000001</v>
      </c>
      <c r="E104" s="74"/>
      <c r="F104" s="73">
        <f>SUM(F86:F103)</f>
        <v>138.93280000000001</v>
      </c>
      <c r="G104" s="83">
        <f>SUM(G86:G103)</f>
        <v>72.169499999999999</v>
      </c>
      <c r="H104" s="73">
        <f>SUM(H86:H103)</f>
        <v>211.10230000000001</v>
      </c>
      <c r="I104" s="83">
        <f>SUM(I93:I103)</f>
        <v>0</v>
      </c>
      <c r="J104" s="83">
        <f>SUM(J93:J103)</f>
        <v>0</v>
      </c>
      <c r="K104" s="83">
        <f>SUM(K93:K103)</f>
        <v>6</v>
      </c>
      <c r="L104" s="83">
        <f>SUM(L93:L103)</f>
        <v>19</v>
      </c>
      <c r="M104" s="83">
        <f>SUM(M92:M103)</f>
        <v>25</v>
      </c>
      <c r="N104" s="76"/>
      <c r="O104" s="77"/>
      <c r="P104" s="168">
        <f>SUM(P93:P103)</f>
        <v>324762749.99999994</v>
      </c>
      <c r="Q104" s="75"/>
    </row>
    <row r="105" spans="1:17" ht="8.25" customHeight="1" x14ac:dyDescent="0.3">
      <c r="F105" s="2"/>
      <c r="G105" s="2"/>
      <c r="H105" s="2"/>
      <c r="I105" s="2"/>
      <c r="J105" s="2"/>
      <c r="K105" s="2"/>
      <c r="L105" s="2"/>
      <c r="M105" s="2"/>
    </row>
    <row r="106" spans="1:17" ht="14.25" customHeight="1" x14ac:dyDescent="0.3">
      <c r="F106" s="2"/>
      <c r="G106" s="2"/>
      <c r="H106" s="2"/>
      <c r="I106" s="2"/>
      <c r="J106" s="2" t="s">
        <v>283</v>
      </c>
      <c r="K106" s="2"/>
      <c r="L106" s="2"/>
      <c r="M106" s="2"/>
    </row>
    <row r="107" spans="1:17" ht="12" customHeight="1" x14ac:dyDescent="0.3">
      <c r="A107" s="395" t="s">
        <v>80</v>
      </c>
      <c r="B107" s="395"/>
      <c r="C107" s="395"/>
      <c r="D107" s="395"/>
    </row>
    <row r="108" spans="1:17" x14ac:dyDescent="0.3">
      <c r="A108" s="395" t="s">
        <v>81</v>
      </c>
      <c r="B108" s="395"/>
      <c r="C108" s="395"/>
      <c r="D108" s="395"/>
      <c r="J108" s="1" t="s">
        <v>85</v>
      </c>
    </row>
    <row r="109" spans="1:17" x14ac:dyDescent="0.3">
      <c r="A109" s="395" t="s">
        <v>82</v>
      </c>
      <c r="B109" s="395"/>
      <c r="C109" s="395"/>
      <c r="D109" s="395"/>
      <c r="J109" s="3" t="s">
        <v>86</v>
      </c>
      <c r="K109" s="1" t="s">
        <v>87</v>
      </c>
      <c r="O109" s="1" t="s">
        <v>90</v>
      </c>
    </row>
    <row r="110" spans="1:17" x14ac:dyDescent="0.3">
      <c r="A110" s="395" t="s">
        <v>83</v>
      </c>
      <c r="B110" s="395"/>
      <c r="C110" s="395"/>
      <c r="D110" s="395"/>
      <c r="K110" s="1" t="s">
        <v>91</v>
      </c>
    </row>
    <row r="111" spans="1:17" ht="13.5" customHeight="1" x14ac:dyDescent="0.3"/>
    <row r="112" spans="1:17" x14ac:dyDescent="0.3">
      <c r="J112" s="3" t="s">
        <v>88</v>
      </c>
      <c r="K112" s="1" t="s">
        <v>89</v>
      </c>
      <c r="O112" s="1" t="s">
        <v>90</v>
      </c>
    </row>
    <row r="113" spans="1:15" x14ac:dyDescent="0.3">
      <c r="K113" s="1" t="s">
        <v>92</v>
      </c>
    </row>
    <row r="114" spans="1:15" x14ac:dyDescent="0.3">
      <c r="A114" s="398" t="s">
        <v>175</v>
      </c>
      <c r="B114" s="398"/>
      <c r="C114" s="398"/>
      <c r="D114" s="398"/>
    </row>
    <row r="115" spans="1:15" x14ac:dyDescent="0.3">
      <c r="A115" s="395" t="s">
        <v>190</v>
      </c>
      <c r="B115" s="395"/>
      <c r="C115" s="395"/>
      <c r="D115" s="395"/>
      <c r="J115" s="1" t="s">
        <v>254</v>
      </c>
      <c r="K115" s="1" t="s">
        <v>255</v>
      </c>
      <c r="O115" s="1" t="s">
        <v>90</v>
      </c>
    </row>
    <row r="116" spans="1:15" x14ac:dyDescent="0.3">
      <c r="K116" s="1" t="s">
        <v>256</v>
      </c>
    </row>
  </sheetData>
  <mergeCells count="21">
    <mergeCell ref="A114:D114"/>
    <mergeCell ref="A115:D115"/>
    <mergeCell ref="B7:C7"/>
    <mergeCell ref="O26:O30"/>
    <mergeCell ref="A107:D107"/>
    <mergeCell ref="A108:D108"/>
    <mergeCell ref="A109:D109"/>
    <mergeCell ref="A110:D110"/>
    <mergeCell ref="B24:C24"/>
    <mergeCell ref="B31:C31"/>
    <mergeCell ref="A1:Q1"/>
    <mergeCell ref="A2:Q2"/>
    <mergeCell ref="A6:A7"/>
    <mergeCell ref="B6:C6"/>
    <mergeCell ref="D6:D7"/>
    <mergeCell ref="E6:E7"/>
    <mergeCell ref="F6:H6"/>
    <mergeCell ref="I6:M6"/>
    <mergeCell ref="N6:O7"/>
    <mergeCell ref="Q6:Q7"/>
    <mergeCell ref="P6:P7"/>
  </mergeCells>
  <pageMargins left="0.48" right="0.70866141732283472" top="0.74803149606299213" bottom="0.74803149606299213" header="0.31496062992125984" footer="0.31496062992125984"/>
  <pageSetup paperSize="5" scale="90" orientation="landscape" horizontalDpi="4294967293"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T116"/>
  <sheetViews>
    <sheetView view="pageBreakPreview" topLeftCell="A13" zoomScale="96" zoomScaleNormal="100" zoomScaleSheetLayoutView="96" workbookViewId="0">
      <selection activeCell="E66" sqref="E66"/>
    </sheetView>
  </sheetViews>
  <sheetFormatPr defaultColWidth="9.1796875" defaultRowHeight="14" x14ac:dyDescent="0.3"/>
  <cols>
    <col min="1" max="1" width="7.453125" style="1" customWidth="1"/>
    <col min="2" max="2" width="2.1796875" style="1" customWidth="1"/>
    <col min="3" max="3" width="19" style="1" customWidth="1"/>
    <col min="4" max="4" width="10" style="1" customWidth="1"/>
    <col min="5" max="5" width="22" style="1" customWidth="1"/>
    <col min="6" max="6" width="10" style="1" bestFit="1" customWidth="1"/>
    <col min="7" max="7" width="8.81640625" style="1" customWidth="1"/>
    <col min="8" max="8" width="9" style="1" customWidth="1"/>
    <col min="9" max="9" width="6.7265625" style="1" customWidth="1"/>
    <col min="10" max="10" width="7" style="1" customWidth="1"/>
    <col min="11" max="12" width="7.54296875" style="1" customWidth="1"/>
    <col min="13" max="13" width="6.81640625" style="1" bestFit="1" customWidth="1"/>
    <col min="14" max="14" width="2.1796875" style="1" customWidth="1"/>
    <col min="15" max="15" width="20.1796875" style="1" customWidth="1"/>
    <col min="16" max="16" width="15.7265625" style="1" customWidth="1"/>
    <col min="17" max="17" width="10.26953125" style="1" customWidth="1"/>
    <col min="18" max="16384" width="9.1796875" style="1"/>
  </cols>
  <sheetData>
    <row r="1" spans="1:20" x14ac:dyDescent="0.3">
      <c r="A1" s="385" t="s">
        <v>260</v>
      </c>
      <c r="B1" s="385"/>
      <c r="C1" s="385"/>
      <c r="D1" s="385"/>
      <c r="E1" s="385"/>
      <c r="F1" s="385"/>
      <c r="G1" s="385"/>
      <c r="H1" s="385"/>
      <c r="I1" s="385"/>
      <c r="J1" s="385"/>
      <c r="K1" s="385"/>
      <c r="L1" s="385"/>
      <c r="M1" s="385"/>
      <c r="N1" s="385"/>
      <c r="O1" s="385"/>
      <c r="P1" s="385"/>
      <c r="Q1" s="385"/>
    </row>
    <row r="2" spans="1:20" ht="14.25" customHeight="1" x14ac:dyDescent="0.3">
      <c r="A2" s="385" t="s">
        <v>261</v>
      </c>
      <c r="B2" s="385"/>
      <c r="C2" s="385"/>
      <c r="D2" s="385"/>
      <c r="E2" s="385"/>
      <c r="F2" s="385"/>
      <c r="G2" s="385"/>
      <c r="H2" s="385"/>
      <c r="I2" s="385"/>
      <c r="J2" s="385"/>
      <c r="K2" s="385"/>
      <c r="L2" s="385"/>
      <c r="M2" s="385"/>
      <c r="N2" s="385"/>
      <c r="O2" s="385"/>
      <c r="P2" s="385"/>
      <c r="Q2" s="385"/>
    </row>
    <row r="3" spans="1:20" ht="14.25" customHeight="1" x14ac:dyDescent="0.3">
      <c r="A3" s="1" t="s">
        <v>1</v>
      </c>
      <c r="B3" s="1" t="s">
        <v>78</v>
      </c>
      <c r="C3" s="1" t="s">
        <v>77</v>
      </c>
    </row>
    <row r="4" spans="1:20" ht="14.25" customHeight="1" x14ac:dyDescent="0.3">
      <c r="A4" s="1" t="s">
        <v>2</v>
      </c>
      <c r="B4" s="1" t="s">
        <v>78</v>
      </c>
      <c r="C4" s="4" t="s">
        <v>287</v>
      </c>
    </row>
    <row r="6" spans="1:20" x14ac:dyDescent="0.3">
      <c r="A6" s="386" t="s">
        <v>3</v>
      </c>
      <c r="B6" s="388" t="s">
        <v>4</v>
      </c>
      <c r="C6" s="388"/>
      <c r="D6" s="389" t="s">
        <v>259</v>
      </c>
      <c r="E6" s="391" t="s">
        <v>7</v>
      </c>
      <c r="F6" s="393" t="s">
        <v>170</v>
      </c>
      <c r="G6" s="393"/>
      <c r="H6" s="393"/>
      <c r="I6" s="393" t="s">
        <v>12</v>
      </c>
      <c r="J6" s="393"/>
      <c r="K6" s="393"/>
      <c r="L6" s="393"/>
      <c r="M6" s="393"/>
      <c r="N6" s="391" t="s">
        <v>17</v>
      </c>
      <c r="O6" s="391"/>
      <c r="P6" s="391" t="s">
        <v>258</v>
      </c>
      <c r="Q6" s="386" t="s">
        <v>192</v>
      </c>
    </row>
    <row r="7" spans="1:20" x14ac:dyDescent="0.3">
      <c r="A7" s="387"/>
      <c r="B7" s="394" t="s">
        <v>5</v>
      </c>
      <c r="C7" s="394"/>
      <c r="D7" s="390"/>
      <c r="E7" s="392"/>
      <c r="F7" s="147" t="s">
        <v>9</v>
      </c>
      <c r="G7" s="147" t="s">
        <v>10</v>
      </c>
      <c r="H7" s="147" t="s">
        <v>11</v>
      </c>
      <c r="I7" s="147" t="s">
        <v>16</v>
      </c>
      <c r="J7" s="147" t="s">
        <v>13</v>
      </c>
      <c r="K7" s="147" t="s">
        <v>14</v>
      </c>
      <c r="L7" s="148" t="s">
        <v>257</v>
      </c>
      <c r="M7" s="147" t="s">
        <v>11</v>
      </c>
      <c r="N7" s="392"/>
      <c r="O7" s="392"/>
      <c r="P7" s="392"/>
      <c r="Q7" s="387"/>
    </row>
    <row r="8" spans="1:20" ht="9" customHeight="1" x14ac:dyDescent="0.3">
      <c r="A8" s="5"/>
      <c r="B8" s="8"/>
      <c r="C8" s="10"/>
      <c r="D8" s="5"/>
      <c r="E8" s="5"/>
      <c r="F8" s="5"/>
      <c r="G8" s="5"/>
      <c r="H8" s="5"/>
      <c r="I8" s="5"/>
      <c r="J8" s="5"/>
      <c r="K8" s="5"/>
      <c r="L8" s="5"/>
      <c r="M8" s="5"/>
      <c r="N8" s="8"/>
      <c r="O8" s="10"/>
      <c r="P8" s="10"/>
      <c r="Q8" s="5"/>
    </row>
    <row r="9" spans="1:20" ht="18.75" customHeight="1" x14ac:dyDescent="0.3">
      <c r="A9" s="13">
        <v>1</v>
      </c>
      <c r="B9" s="14" t="s">
        <v>20</v>
      </c>
      <c r="C9" s="15"/>
      <c r="D9" s="16"/>
      <c r="E9" s="47"/>
      <c r="F9" s="16"/>
      <c r="G9" s="16"/>
      <c r="H9" s="16"/>
      <c r="I9" s="16"/>
      <c r="J9" s="16"/>
      <c r="K9" s="16"/>
      <c r="L9" s="16"/>
      <c r="M9" s="16"/>
      <c r="N9" s="35"/>
      <c r="O9" s="36"/>
      <c r="P9" s="36"/>
      <c r="Q9" s="16"/>
    </row>
    <row r="10" spans="1:20" ht="18.75" customHeight="1" x14ac:dyDescent="0.3">
      <c r="A10" s="13"/>
      <c r="B10" s="17" t="s">
        <v>57</v>
      </c>
      <c r="C10" s="15" t="s">
        <v>21</v>
      </c>
      <c r="D10" s="18">
        <v>418.06</v>
      </c>
      <c r="E10" s="47" t="s">
        <v>36</v>
      </c>
      <c r="F10" s="26">
        <f>4%*D10</f>
        <v>16.7224</v>
      </c>
      <c r="G10" s="26">
        <f>0%*D10</f>
        <v>0</v>
      </c>
      <c r="H10" s="26">
        <f>SUM(F10:G10)</f>
        <v>16.7224</v>
      </c>
      <c r="I10" s="19">
        <v>0</v>
      </c>
      <c r="J10" s="19"/>
      <c r="K10" s="19">
        <v>3</v>
      </c>
      <c r="L10" s="19">
        <v>4</v>
      </c>
      <c r="M10" s="20">
        <f>SUM(I10:L10)</f>
        <v>7</v>
      </c>
      <c r="N10" s="37"/>
      <c r="O10" s="36"/>
      <c r="P10" s="172">
        <f t="shared" ref="P10:P23" si="0">G10*0.261*12%*70000000</f>
        <v>0</v>
      </c>
      <c r="Q10" s="16"/>
      <c r="S10" s="1" t="s">
        <v>333</v>
      </c>
      <c r="T10" s="1" t="s">
        <v>341</v>
      </c>
    </row>
    <row r="11" spans="1:20" ht="18.75" customHeight="1" x14ac:dyDescent="0.3">
      <c r="A11" s="13"/>
      <c r="B11" s="14"/>
      <c r="C11" s="15"/>
      <c r="D11" s="18"/>
      <c r="E11" s="47" t="s">
        <v>37</v>
      </c>
      <c r="F11" s="26">
        <f>4%*D10</f>
        <v>16.7224</v>
      </c>
      <c r="G11" s="26">
        <f>0%*D10</f>
        <v>0</v>
      </c>
      <c r="H11" s="26">
        <f>SUM(F11:G11)</f>
        <v>16.7224</v>
      </c>
      <c r="I11" s="19">
        <v>0</v>
      </c>
      <c r="J11" s="19"/>
      <c r="K11" s="19"/>
      <c r="L11" s="19">
        <v>3</v>
      </c>
      <c r="M11" s="20">
        <f t="shared" ref="M11:M23" si="1">SUM(I11:L11)</f>
        <v>3</v>
      </c>
      <c r="N11" s="37" t="s">
        <v>51</v>
      </c>
      <c r="O11" s="38" t="s">
        <v>50</v>
      </c>
      <c r="P11" s="172">
        <f t="shared" si="0"/>
        <v>0</v>
      </c>
      <c r="Q11" s="16"/>
    </row>
    <row r="12" spans="1:20" ht="18.75" customHeight="1" x14ac:dyDescent="0.3">
      <c r="A12" s="13"/>
      <c r="B12" s="14"/>
      <c r="C12" s="15"/>
      <c r="D12" s="18"/>
      <c r="E12" s="47" t="s">
        <v>38</v>
      </c>
      <c r="F12" s="26">
        <f>3%*D10</f>
        <v>12.5418</v>
      </c>
      <c r="G12" s="26">
        <f>0%*D10</f>
        <v>0</v>
      </c>
      <c r="H12" s="26">
        <f>SUM(F12:G12)</f>
        <v>12.5418</v>
      </c>
      <c r="I12" s="19">
        <v>0</v>
      </c>
      <c r="J12" s="19"/>
      <c r="K12" s="19">
        <v>3</v>
      </c>
      <c r="L12" s="19">
        <v>4</v>
      </c>
      <c r="M12" s="20">
        <f t="shared" si="1"/>
        <v>7</v>
      </c>
      <c r="N12" s="37" t="s">
        <v>51</v>
      </c>
      <c r="O12" s="36" t="s">
        <v>49</v>
      </c>
      <c r="P12" s="172">
        <f t="shared" si="0"/>
        <v>0</v>
      </c>
      <c r="Q12" s="16"/>
      <c r="S12" s="1" t="s">
        <v>343</v>
      </c>
    </row>
    <row r="13" spans="1:20" ht="28.5" customHeight="1" x14ac:dyDescent="0.3">
      <c r="A13" s="13"/>
      <c r="B13" s="14"/>
      <c r="C13" s="15"/>
      <c r="D13" s="18"/>
      <c r="E13" s="48" t="s">
        <v>39</v>
      </c>
      <c r="F13" s="96">
        <f>20%*D10</f>
        <v>83.612000000000009</v>
      </c>
      <c r="G13" s="96">
        <f>0%*D10</f>
        <v>0</v>
      </c>
      <c r="H13" s="96">
        <f>SUM(F13:G13)</f>
        <v>83.612000000000009</v>
      </c>
      <c r="I13" s="97">
        <v>0</v>
      </c>
      <c r="J13" s="97">
        <v>0</v>
      </c>
      <c r="K13" s="97">
        <v>0</v>
      </c>
      <c r="L13" s="97">
        <v>3</v>
      </c>
      <c r="M13" s="121">
        <f t="shared" si="1"/>
        <v>3</v>
      </c>
      <c r="N13" s="39" t="s">
        <v>51</v>
      </c>
      <c r="O13" s="40" t="s">
        <v>48</v>
      </c>
      <c r="P13" s="172">
        <f t="shared" si="0"/>
        <v>0</v>
      </c>
      <c r="Q13" s="16"/>
      <c r="S13" s="1" t="s">
        <v>342</v>
      </c>
    </row>
    <row r="14" spans="1:20" ht="18.75" customHeight="1" x14ac:dyDescent="0.3">
      <c r="A14" s="13"/>
      <c r="B14" s="17" t="s">
        <v>58</v>
      </c>
      <c r="C14" s="15" t="s">
        <v>22</v>
      </c>
      <c r="D14" s="18">
        <v>827.82</v>
      </c>
      <c r="E14" s="47" t="s">
        <v>36</v>
      </c>
      <c r="F14" s="26">
        <f>5%*D14</f>
        <v>41.391000000000005</v>
      </c>
      <c r="G14" s="26">
        <f>1%*D14</f>
        <v>8.2782</v>
      </c>
      <c r="H14" s="26">
        <f>SUM(F14:G14)</f>
        <v>49.669200000000004</v>
      </c>
      <c r="I14" s="19">
        <v>0</v>
      </c>
      <c r="J14" s="19"/>
      <c r="K14" s="19">
        <v>5</v>
      </c>
      <c r="L14" s="19">
        <v>5</v>
      </c>
      <c r="M14" s="20">
        <f t="shared" si="1"/>
        <v>10</v>
      </c>
      <c r="N14" s="35" t="s">
        <v>51</v>
      </c>
      <c r="O14" s="41" t="s">
        <v>137</v>
      </c>
      <c r="P14" s="172">
        <f t="shared" si="0"/>
        <v>18149125.680000003</v>
      </c>
      <c r="Q14" s="16"/>
    </row>
    <row r="15" spans="1:20" ht="18.75" customHeight="1" x14ac:dyDescent="0.3">
      <c r="A15" s="13"/>
      <c r="B15" s="14"/>
      <c r="C15" s="15"/>
      <c r="D15" s="26"/>
      <c r="E15" s="47" t="s">
        <v>37</v>
      </c>
      <c r="F15" s="26">
        <f>3%*D14</f>
        <v>24.834600000000002</v>
      </c>
      <c r="G15" s="26">
        <f>2%*D14</f>
        <v>16.5564</v>
      </c>
      <c r="H15" s="26">
        <f t="shared" ref="H15:H17" si="2">SUM(F15:G15)</f>
        <v>41.391000000000005</v>
      </c>
      <c r="I15" s="19">
        <v>0</v>
      </c>
      <c r="J15" s="19"/>
      <c r="K15" s="19">
        <v>5</v>
      </c>
      <c r="L15" s="19">
        <v>5</v>
      </c>
      <c r="M15" s="20">
        <f t="shared" si="1"/>
        <v>10</v>
      </c>
      <c r="N15" s="35"/>
      <c r="O15" s="36"/>
      <c r="P15" s="172">
        <f t="shared" si="0"/>
        <v>36298251.360000007</v>
      </c>
      <c r="Q15" s="16"/>
      <c r="S15" s="1" t="s">
        <v>344</v>
      </c>
    </row>
    <row r="16" spans="1:20" ht="18.75" customHeight="1" x14ac:dyDescent="0.3">
      <c r="A16" s="13"/>
      <c r="B16" s="14"/>
      <c r="C16" s="15"/>
      <c r="D16" s="26"/>
      <c r="E16" s="47" t="s">
        <v>38</v>
      </c>
      <c r="F16" s="26">
        <f>4%*D14</f>
        <v>33.1128</v>
      </c>
      <c r="G16" s="26">
        <f>3%*D14</f>
        <v>24.834600000000002</v>
      </c>
      <c r="H16" s="26">
        <f t="shared" si="2"/>
        <v>57.947400000000002</v>
      </c>
      <c r="I16" s="19">
        <v>0</v>
      </c>
      <c r="J16" s="19"/>
      <c r="K16" s="19">
        <v>5</v>
      </c>
      <c r="L16" s="19">
        <v>3</v>
      </c>
      <c r="M16" s="20">
        <f t="shared" si="1"/>
        <v>8</v>
      </c>
      <c r="N16" s="35"/>
      <c r="O16" s="36"/>
      <c r="P16" s="172">
        <f t="shared" si="0"/>
        <v>54447377.039999999</v>
      </c>
      <c r="Q16" s="16"/>
      <c r="S16" s="1" t="s">
        <v>345</v>
      </c>
    </row>
    <row r="17" spans="1:19" ht="29.25" customHeight="1" x14ac:dyDescent="0.3">
      <c r="A17" s="54"/>
      <c r="B17" s="55"/>
      <c r="C17" s="56"/>
      <c r="D17" s="57"/>
      <c r="E17" s="58" t="s">
        <v>39</v>
      </c>
      <c r="F17" s="119">
        <f>6%*D14</f>
        <v>49.669200000000004</v>
      </c>
      <c r="G17" s="119">
        <f>8%*D14</f>
        <v>66.2256</v>
      </c>
      <c r="H17" s="119">
        <f t="shared" si="2"/>
        <v>115.8948</v>
      </c>
      <c r="I17" s="59">
        <v>0</v>
      </c>
      <c r="J17" s="59">
        <v>0</v>
      </c>
      <c r="K17" s="59">
        <v>0</v>
      </c>
      <c r="L17" s="59">
        <v>4</v>
      </c>
      <c r="M17" s="60">
        <f t="shared" si="1"/>
        <v>4</v>
      </c>
      <c r="N17" s="42"/>
      <c r="O17" s="38"/>
      <c r="P17" s="172">
        <f t="shared" si="0"/>
        <v>145193005.44000003</v>
      </c>
      <c r="Q17" s="29"/>
    </row>
    <row r="18" spans="1:19" ht="15" customHeight="1" x14ac:dyDescent="0.3">
      <c r="A18" s="54"/>
      <c r="B18" s="55" t="s">
        <v>59</v>
      </c>
      <c r="C18" s="56" t="s">
        <v>27</v>
      </c>
      <c r="D18" s="18">
        <v>113.45</v>
      </c>
      <c r="E18" s="47" t="s">
        <v>36</v>
      </c>
      <c r="F18" s="26">
        <f>50%*D18</f>
        <v>56.725000000000001</v>
      </c>
      <c r="G18" s="26">
        <f>4%*D18</f>
        <v>4.5380000000000003</v>
      </c>
      <c r="H18" s="26">
        <f>SUM(F18:G18)</f>
        <v>61.263000000000005</v>
      </c>
      <c r="I18" s="19">
        <v>0</v>
      </c>
      <c r="J18" s="19"/>
      <c r="K18" s="19">
        <v>2</v>
      </c>
      <c r="L18" s="19"/>
      <c r="M18" s="20">
        <f t="shared" si="1"/>
        <v>2</v>
      </c>
      <c r="N18" s="42"/>
      <c r="O18" s="38"/>
      <c r="P18" s="172">
        <f t="shared" si="0"/>
        <v>9949111.2000000011</v>
      </c>
      <c r="Q18" s="29"/>
    </row>
    <row r="19" spans="1:19" ht="15" customHeight="1" x14ac:dyDescent="0.3">
      <c r="A19" s="54"/>
      <c r="B19" s="55"/>
      <c r="C19" s="56"/>
      <c r="D19" s="26"/>
      <c r="E19" s="47" t="s">
        <v>37</v>
      </c>
      <c r="F19" s="26">
        <f>2%*D18</f>
        <v>2.2690000000000001</v>
      </c>
      <c r="G19" s="26">
        <f>5%*D18</f>
        <v>5.6725000000000003</v>
      </c>
      <c r="H19" s="26">
        <f t="shared" ref="H19:H20" si="3">SUM(F19:G19)</f>
        <v>7.9415000000000004</v>
      </c>
      <c r="I19" s="19">
        <v>0</v>
      </c>
      <c r="J19" s="19"/>
      <c r="K19" s="19">
        <v>2</v>
      </c>
      <c r="L19" s="19">
        <v>1</v>
      </c>
      <c r="M19" s="20">
        <f t="shared" si="1"/>
        <v>3</v>
      </c>
      <c r="N19" s="42"/>
      <c r="O19" s="38"/>
      <c r="P19" s="172">
        <f t="shared" si="0"/>
        <v>12436389</v>
      </c>
      <c r="Q19" s="29"/>
    </row>
    <row r="20" spans="1:19" ht="14.25" customHeight="1" x14ac:dyDescent="0.3">
      <c r="A20" s="54"/>
      <c r="B20" s="55"/>
      <c r="C20" s="56"/>
      <c r="D20" s="26"/>
      <c r="E20" s="47" t="s">
        <v>38</v>
      </c>
      <c r="F20" s="26">
        <f>2%*D18</f>
        <v>2.2690000000000001</v>
      </c>
      <c r="G20" s="26">
        <f>30%*D18</f>
        <v>34.034999999999997</v>
      </c>
      <c r="H20" s="26">
        <f t="shared" si="3"/>
        <v>36.303999999999995</v>
      </c>
      <c r="I20" s="19">
        <v>0</v>
      </c>
      <c r="J20" s="19"/>
      <c r="K20" s="19">
        <v>4</v>
      </c>
      <c r="L20" s="19">
        <v>1</v>
      </c>
      <c r="M20" s="20">
        <f t="shared" si="1"/>
        <v>5</v>
      </c>
      <c r="N20" s="42"/>
      <c r="O20" s="38"/>
      <c r="P20" s="172">
        <f t="shared" si="0"/>
        <v>74618334</v>
      </c>
      <c r="Q20" s="29"/>
    </row>
    <row r="21" spans="1:19" ht="18.75" customHeight="1" x14ac:dyDescent="0.3">
      <c r="A21" s="13"/>
      <c r="B21" s="17" t="s">
        <v>60</v>
      </c>
      <c r="C21" s="15" t="s">
        <v>42</v>
      </c>
      <c r="D21" s="18">
        <v>526.28</v>
      </c>
      <c r="E21" s="47" t="s">
        <v>36</v>
      </c>
      <c r="F21" s="26">
        <f>50%*D18</f>
        <v>56.725000000000001</v>
      </c>
      <c r="G21" s="26">
        <f>5%*D21</f>
        <v>26.314</v>
      </c>
      <c r="H21" s="26">
        <f>SUM(F21:G21)</f>
        <v>83.039000000000001</v>
      </c>
      <c r="I21" s="19">
        <v>0</v>
      </c>
      <c r="J21" s="19"/>
      <c r="K21" s="19"/>
      <c r="L21" s="19">
        <v>4</v>
      </c>
      <c r="M21" s="20">
        <f t="shared" si="1"/>
        <v>4</v>
      </c>
      <c r="N21" s="35"/>
      <c r="O21" s="36"/>
      <c r="P21" s="172">
        <f t="shared" si="0"/>
        <v>57690813.600000001</v>
      </c>
      <c r="Q21" s="29"/>
    </row>
    <row r="22" spans="1:19" ht="18.75" customHeight="1" x14ac:dyDescent="0.3">
      <c r="A22" s="13"/>
      <c r="B22" s="14"/>
      <c r="C22" s="15"/>
      <c r="D22" s="26"/>
      <c r="E22" s="47" t="s">
        <v>37</v>
      </c>
      <c r="F22" s="26">
        <f>43%*D21</f>
        <v>226.3004</v>
      </c>
      <c r="G22" s="26">
        <f>3%*D21</f>
        <v>15.788399999999999</v>
      </c>
      <c r="H22" s="26">
        <f t="shared" ref="H22:H23" si="4">SUM(F22:G22)</f>
        <v>242.08879999999999</v>
      </c>
      <c r="I22" s="19">
        <v>0</v>
      </c>
      <c r="J22" s="19"/>
      <c r="K22" s="19"/>
      <c r="L22" s="19">
        <v>4</v>
      </c>
      <c r="M22" s="20">
        <f t="shared" si="1"/>
        <v>4</v>
      </c>
      <c r="N22" s="35"/>
      <c r="O22" s="36"/>
      <c r="P22" s="172">
        <f t="shared" si="0"/>
        <v>34614488.159999996</v>
      </c>
      <c r="Q22" s="29"/>
    </row>
    <row r="23" spans="1:19" ht="18.75" customHeight="1" x14ac:dyDescent="0.3">
      <c r="A23" s="13"/>
      <c r="B23" s="14"/>
      <c r="C23" s="15"/>
      <c r="D23" s="26"/>
      <c r="E23" s="47" t="s">
        <v>38</v>
      </c>
      <c r="F23" s="26">
        <f>2%*D21</f>
        <v>10.525599999999999</v>
      </c>
      <c r="G23" s="26">
        <f>35%*D21</f>
        <v>184.19799999999998</v>
      </c>
      <c r="H23" s="26">
        <f t="shared" si="4"/>
        <v>194.72359999999998</v>
      </c>
      <c r="I23" s="19">
        <v>0</v>
      </c>
      <c r="J23" s="19"/>
      <c r="K23" s="19"/>
      <c r="L23" s="19">
        <v>3</v>
      </c>
      <c r="M23" s="20">
        <f t="shared" si="1"/>
        <v>3</v>
      </c>
      <c r="N23" s="80"/>
      <c r="O23" s="81"/>
      <c r="P23" s="172">
        <f t="shared" si="0"/>
        <v>403835695.19999999</v>
      </c>
      <c r="Q23" s="88"/>
    </row>
    <row r="24" spans="1:19" ht="18.75" customHeight="1" x14ac:dyDescent="0.3">
      <c r="A24" s="89"/>
      <c r="B24" s="402" t="s">
        <v>325</v>
      </c>
      <c r="C24" s="403"/>
      <c r="D24" s="73">
        <f>SUM(D9:D17)</f>
        <v>1245.8800000000001</v>
      </c>
      <c r="E24" s="74"/>
      <c r="F24" s="118">
        <f>SUM(F9:F17)</f>
        <v>278.6062</v>
      </c>
      <c r="G24" s="118">
        <f>SUM(G9:G17)</f>
        <v>115.8948</v>
      </c>
      <c r="H24" s="118">
        <f>SUM(H9:H17)</f>
        <v>394.50100000000009</v>
      </c>
      <c r="I24" s="75">
        <f>SUM(I9:I17)</f>
        <v>0</v>
      </c>
      <c r="J24" s="75">
        <f>SUM(J9:J17)</f>
        <v>0</v>
      </c>
      <c r="K24" s="75">
        <f>SUM(K8:K23)</f>
        <v>29</v>
      </c>
      <c r="L24" s="160">
        <f>SUM(L10:L23)</f>
        <v>44</v>
      </c>
      <c r="M24" s="75">
        <f>SUM(M9:M17)</f>
        <v>52</v>
      </c>
      <c r="N24" s="76"/>
      <c r="O24" s="77"/>
      <c r="P24" s="173">
        <f>SUM(P10:P23)</f>
        <v>847232590.68000007</v>
      </c>
      <c r="Q24" s="75"/>
    </row>
    <row r="25" spans="1:19" ht="18.75" customHeight="1" x14ac:dyDescent="0.3">
      <c r="A25" s="63">
        <v>2</v>
      </c>
      <c r="B25" s="64" t="s">
        <v>23</v>
      </c>
      <c r="C25" s="65"/>
      <c r="D25" s="66"/>
      <c r="E25" s="67"/>
      <c r="F25" s="68"/>
      <c r="G25" s="68"/>
      <c r="H25" s="68"/>
      <c r="I25" s="68"/>
      <c r="J25" s="68"/>
      <c r="K25" s="68"/>
      <c r="L25" s="68"/>
      <c r="M25" s="68"/>
      <c r="N25" s="69"/>
      <c r="O25" s="70"/>
      <c r="P25" s="70"/>
      <c r="Q25" s="68"/>
    </row>
    <row r="26" spans="1:19" ht="18.75" customHeight="1" x14ac:dyDescent="0.3">
      <c r="A26" s="13"/>
      <c r="B26" s="14" t="s">
        <v>57</v>
      </c>
      <c r="C26" s="15" t="s">
        <v>22</v>
      </c>
      <c r="D26" s="26">
        <v>202.18</v>
      </c>
      <c r="E26" s="47" t="s">
        <v>40</v>
      </c>
      <c r="F26" s="19">
        <v>0</v>
      </c>
      <c r="G26" s="19">
        <f>2%*D26</f>
        <v>4.0436000000000005</v>
      </c>
      <c r="H26" s="19">
        <f t="shared" ref="H26" si="5">SUM(F26:G26)</f>
        <v>4.0436000000000005</v>
      </c>
      <c r="I26" s="19">
        <v>0</v>
      </c>
      <c r="J26" s="19">
        <v>0</v>
      </c>
      <c r="K26" s="19">
        <v>0</v>
      </c>
      <c r="L26" s="19">
        <v>2</v>
      </c>
      <c r="M26" s="20">
        <f t="shared" ref="M26:M27" si="6">SUM(I26:L26)</f>
        <v>2</v>
      </c>
      <c r="N26" s="37" t="s">
        <v>51</v>
      </c>
      <c r="O26" s="404" t="s">
        <v>279</v>
      </c>
      <c r="P26" s="175">
        <f>G26*0.52*20%*50000000</f>
        <v>21026720.000000007</v>
      </c>
      <c r="Q26" s="16"/>
    </row>
    <row r="27" spans="1:19" ht="18.75" customHeight="1" x14ac:dyDescent="0.3">
      <c r="A27" s="54"/>
      <c r="B27" s="55"/>
      <c r="C27" s="56"/>
      <c r="D27" s="57"/>
      <c r="E27" s="85" t="s">
        <v>251</v>
      </c>
      <c r="F27" s="79"/>
      <c r="G27" s="79">
        <f>1.25%*D26</f>
        <v>2.5272500000000004</v>
      </c>
      <c r="H27" s="79"/>
      <c r="I27" s="19">
        <v>0</v>
      </c>
      <c r="J27" s="19">
        <v>0</v>
      </c>
      <c r="K27" s="19">
        <v>0</v>
      </c>
      <c r="L27" s="19">
        <v>0</v>
      </c>
      <c r="M27" s="20">
        <f t="shared" si="6"/>
        <v>0</v>
      </c>
      <c r="N27" s="37"/>
      <c r="O27" s="404"/>
      <c r="P27" s="175">
        <f>G27*0.52*15%*50000000</f>
        <v>9856275.0000000019</v>
      </c>
      <c r="Q27" s="16"/>
    </row>
    <row r="28" spans="1:19" ht="18.75" customHeight="1" x14ac:dyDescent="0.3">
      <c r="A28" s="54"/>
      <c r="B28" s="55" t="s">
        <v>58</v>
      </c>
      <c r="C28" s="56" t="s">
        <v>42</v>
      </c>
      <c r="D28" s="57">
        <v>55</v>
      </c>
      <c r="E28" s="47" t="s">
        <v>40</v>
      </c>
      <c r="F28" s="19">
        <v>0</v>
      </c>
      <c r="G28" s="19">
        <f>9%*D28</f>
        <v>4.95</v>
      </c>
      <c r="H28" s="19">
        <f t="shared" ref="H28" si="7">SUM(F28:G28)</f>
        <v>4.95</v>
      </c>
      <c r="I28" s="19">
        <v>0</v>
      </c>
      <c r="J28" s="19"/>
      <c r="K28" s="19">
        <v>0</v>
      </c>
      <c r="L28" s="19">
        <v>0</v>
      </c>
      <c r="M28" s="20">
        <f t="shared" ref="M28:M30" si="8">SUM(I28:L28)</f>
        <v>0</v>
      </c>
      <c r="N28" s="37"/>
      <c r="O28" s="404"/>
      <c r="P28" s="175">
        <f>G28*0.52*20%*50000000</f>
        <v>25740000</v>
      </c>
      <c r="Q28" s="16"/>
      <c r="R28" s="1" t="s">
        <v>333</v>
      </c>
      <c r="S28" s="1" t="s">
        <v>334</v>
      </c>
    </row>
    <row r="29" spans="1:19" ht="18.75" customHeight="1" x14ac:dyDescent="0.3">
      <c r="A29" s="54"/>
      <c r="B29" s="55"/>
      <c r="C29" s="56"/>
      <c r="D29" s="57"/>
      <c r="E29" s="85" t="s">
        <v>250</v>
      </c>
      <c r="F29" s="79"/>
      <c r="G29" s="79">
        <f>1.25%*D28</f>
        <v>0.6875</v>
      </c>
      <c r="H29" s="79"/>
      <c r="I29" s="19">
        <v>0</v>
      </c>
      <c r="J29" s="19"/>
      <c r="K29" s="19"/>
      <c r="L29" s="19">
        <v>1</v>
      </c>
      <c r="M29" s="20">
        <f t="shared" si="8"/>
        <v>1</v>
      </c>
      <c r="N29" s="37"/>
      <c r="O29" s="404"/>
      <c r="P29" s="175">
        <f>G29*0.52*15%*50000000</f>
        <v>2681250.0000000005</v>
      </c>
      <c r="Q29" s="16"/>
    </row>
    <row r="30" spans="1:19" ht="18.75" customHeight="1" x14ac:dyDescent="0.3">
      <c r="A30" s="54"/>
      <c r="B30" s="55" t="s">
        <v>59</v>
      </c>
      <c r="C30" s="56" t="s">
        <v>21</v>
      </c>
      <c r="D30" s="57">
        <v>66.94</v>
      </c>
      <c r="E30" s="47" t="s">
        <v>40</v>
      </c>
      <c r="F30" s="19">
        <v>0</v>
      </c>
      <c r="G30" s="19">
        <f>6%*D30</f>
        <v>4.0164</v>
      </c>
      <c r="H30" s="19">
        <f t="shared" ref="H30" si="9">SUM(F30:G30)</f>
        <v>4.0164</v>
      </c>
      <c r="I30" s="19">
        <v>0</v>
      </c>
      <c r="J30" s="19">
        <v>0</v>
      </c>
      <c r="K30" s="19">
        <v>0</v>
      </c>
      <c r="L30" s="19">
        <v>2</v>
      </c>
      <c r="M30" s="20">
        <f t="shared" si="8"/>
        <v>2</v>
      </c>
      <c r="N30" s="95"/>
      <c r="O30" s="399"/>
      <c r="P30" s="175">
        <f>G30*0.52*20%*50000000</f>
        <v>20885280.000000004</v>
      </c>
      <c r="Q30" s="87"/>
    </row>
    <row r="31" spans="1:19" ht="18.75" customHeight="1" x14ac:dyDescent="0.3">
      <c r="A31" s="89"/>
      <c r="B31" s="402" t="s">
        <v>326</v>
      </c>
      <c r="C31" s="403"/>
      <c r="D31" s="73">
        <f>SUM(D25:D30)</f>
        <v>324.12</v>
      </c>
      <c r="E31" s="74"/>
      <c r="F31" s="83">
        <f t="shared" ref="F31:K31" si="10">SUM(F25:F30)</f>
        <v>0</v>
      </c>
      <c r="G31" s="83">
        <f t="shared" si="10"/>
        <v>16.22475</v>
      </c>
      <c r="H31" s="83">
        <f t="shared" si="10"/>
        <v>13.010000000000002</v>
      </c>
      <c r="I31" s="83">
        <f t="shared" si="10"/>
        <v>0</v>
      </c>
      <c r="J31" s="83">
        <f t="shared" si="10"/>
        <v>0</v>
      </c>
      <c r="K31" s="83">
        <f t="shared" si="10"/>
        <v>0</v>
      </c>
      <c r="L31" s="83">
        <f>SUM(L26:L30)</f>
        <v>5</v>
      </c>
      <c r="M31" s="83">
        <f>SUM(M25:M30)</f>
        <v>5</v>
      </c>
      <c r="N31" s="76"/>
      <c r="O31" s="77"/>
      <c r="P31" s="185">
        <f>SUM(P26:P30)</f>
        <v>80189525.000000015</v>
      </c>
      <c r="Q31" s="75"/>
    </row>
    <row r="32" spans="1:19" ht="18.75" customHeight="1" x14ac:dyDescent="0.3">
      <c r="A32" s="63">
        <v>3</v>
      </c>
      <c r="B32" s="64" t="s">
        <v>19</v>
      </c>
      <c r="C32" s="65"/>
      <c r="D32" s="66"/>
      <c r="E32" s="67"/>
      <c r="F32" s="82"/>
      <c r="G32" s="82"/>
      <c r="H32" s="82"/>
      <c r="I32" s="82"/>
      <c r="J32" s="82"/>
      <c r="K32" s="82"/>
      <c r="L32" s="82"/>
      <c r="M32" s="82"/>
      <c r="N32" s="69"/>
      <c r="O32" s="70"/>
      <c r="P32" s="70"/>
      <c r="Q32" s="68"/>
    </row>
    <row r="33" spans="1:17" ht="15.75" customHeight="1" x14ac:dyDescent="0.3">
      <c r="A33" s="13"/>
      <c r="B33" s="14" t="s">
        <v>57</v>
      </c>
      <c r="C33" s="15" t="s">
        <v>24</v>
      </c>
      <c r="D33" s="26">
        <f>1372.4+494</f>
        <v>1866.4</v>
      </c>
      <c r="E33" s="50" t="s">
        <v>52</v>
      </c>
      <c r="F33" s="19">
        <v>0</v>
      </c>
      <c r="G33" s="26">
        <f>15%*D33</f>
        <v>279.95999999999998</v>
      </c>
      <c r="H33" s="26">
        <f>SUM(F33:G33)</f>
        <v>279.95999999999998</v>
      </c>
      <c r="I33" s="19">
        <v>0</v>
      </c>
      <c r="J33" s="19"/>
      <c r="K33" s="19">
        <v>10</v>
      </c>
      <c r="L33" s="19">
        <v>2</v>
      </c>
      <c r="M33" s="19">
        <f>SUM(I33:L33)</f>
        <v>12</v>
      </c>
      <c r="N33" s="35" t="s">
        <v>262</v>
      </c>
      <c r="O33" s="36"/>
      <c r="P33" s="161">
        <f t="shared" ref="P33:P62" si="11">G33*0.815*26%*4000000</f>
        <v>237294095.99999997</v>
      </c>
      <c r="Q33" s="16"/>
    </row>
    <row r="34" spans="1:17" ht="15" customHeight="1" x14ac:dyDescent="0.3">
      <c r="A34" s="13"/>
      <c r="B34" s="14"/>
      <c r="C34" s="15"/>
      <c r="D34" s="26"/>
      <c r="E34" s="47" t="s">
        <v>234</v>
      </c>
      <c r="F34" s="26"/>
      <c r="G34" s="26">
        <f>10%*D33</f>
        <v>186.64000000000001</v>
      </c>
      <c r="H34" s="26">
        <f>F34+G34</f>
        <v>186.64000000000001</v>
      </c>
      <c r="I34" s="19">
        <v>0</v>
      </c>
      <c r="J34" s="19"/>
      <c r="K34" s="19">
        <v>0</v>
      </c>
      <c r="L34" s="19">
        <v>4</v>
      </c>
      <c r="M34" s="19">
        <f>SUM(I34:L34)</f>
        <v>4</v>
      </c>
      <c r="N34" s="35" t="s">
        <v>263</v>
      </c>
      <c r="O34" s="36"/>
      <c r="P34" s="161">
        <f t="shared" si="11"/>
        <v>158196064</v>
      </c>
      <c r="Q34" s="16"/>
    </row>
    <row r="35" spans="1:17" ht="18.75" customHeight="1" x14ac:dyDescent="0.3">
      <c r="A35" s="13"/>
      <c r="B35" s="14" t="s">
        <v>58</v>
      </c>
      <c r="C35" s="15" t="s">
        <v>25</v>
      </c>
      <c r="D35" s="26">
        <f>994.7+363.2</f>
        <v>1357.9</v>
      </c>
      <c r="E35" s="50" t="s">
        <v>52</v>
      </c>
      <c r="F35" s="19">
        <v>0</v>
      </c>
      <c r="G35" s="26">
        <f>9%*D35</f>
        <v>122.211</v>
      </c>
      <c r="H35" s="26">
        <f t="shared" ref="H35:H61" si="12">SUM(F35:G35)</f>
        <v>122.211</v>
      </c>
      <c r="I35" s="19">
        <v>0</v>
      </c>
      <c r="J35" s="19"/>
      <c r="K35" s="19">
        <v>0</v>
      </c>
      <c r="L35" s="19">
        <v>0</v>
      </c>
      <c r="M35" s="19">
        <f t="shared" ref="M35:M62" si="13">SUM(I35:L35)</f>
        <v>0</v>
      </c>
      <c r="N35" s="35" t="s">
        <v>264</v>
      </c>
      <c r="O35" s="36"/>
      <c r="P35" s="161">
        <f t="shared" si="11"/>
        <v>103586043.59999999</v>
      </c>
      <c r="Q35" s="16"/>
    </row>
    <row r="36" spans="1:17" ht="17.25" customHeight="1" x14ac:dyDescent="0.3">
      <c r="A36" s="13"/>
      <c r="B36" s="14" t="s">
        <v>59</v>
      </c>
      <c r="C36" s="15" t="s">
        <v>26</v>
      </c>
      <c r="D36" s="26">
        <f>976.5+338</f>
        <v>1314.5</v>
      </c>
      <c r="E36" s="50" t="s">
        <v>52</v>
      </c>
      <c r="F36" s="19">
        <v>0</v>
      </c>
      <c r="G36" s="26">
        <f>20%*D36</f>
        <v>262.90000000000003</v>
      </c>
      <c r="H36" s="26">
        <f t="shared" si="12"/>
        <v>262.90000000000003</v>
      </c>
      <c r="I36" s="19"/>
      <c r="J36" s="19"/>
      <c r="K36" s="19">
        <v>0</v>
      </c>
      <c r="L36" s="19">
        <v>5</v>
      </c>
      <c r="M36" s="19">
        <f t="shared" si="13"/>
        <v>5</v>
      </c>
      <c r="N36" s="35" t="s">
        <v>265</v>
      </c>
      <c r="O36" s="36" t="s">
        <v>266</v>
      </c>
      <c r="P36" s="161">
        <f t="shared" si="11"/>
        <v>222834040.00000003</v>
      </c>
      <c r="Q36" s="16"/>
    </row>
    <row r="37" spans="1:17" ht="15" customHeight="1" x14ac:dyDescent="0.3">
      <c r="A37" s="13"/>
      <c r="B37" s="14" t="s">
        <v>60</v>
      </c>
      <c r="C37" s="15" t="s">
        <v>55</v>
      </c>
      <c r="D37" s="26">
        <f>291.6+46.93</f>
        <v>338.53000000000003</v>
      </c>
      <c r="E37" s="50" t="s">
        <v>52</v>
      </c>
      <c r="F37" s="19">
        <v>0</v>
      </c>
      <c r="G37" s="26">
        <f>20%*D37</f>
        <v>67.706000000000003</v>
      </c>
      <c r="H37" s="26">
        <f t="shared" si="12"/>
        <v>67.706000000000003</v>
      </c>
      <c r="I37" s="19">
        <v>0</v>
      </c>
      <c r="J37" s="19">
        <v>0</v>
      </c>
      <c r="K37" s="19">
        <v>0</v>
      </c>
      <c r="L37" s="19">
        <v>0</v>
      </c>
      <c r="M37" s="19">
        <f t="shared" si="13"/>
        <v>0</v>
      </c>
      <c r="N37" s="35"/>
      <c r="O37" s="36" t="s">
        <v>267</v>
      </c>
      <c r="P37" s="161">
        <f t="shared" si="11"/>
        <v>57387605.600000001</v>
      </c>
      <c r="Q37" s="16"/>
    </row>
    <row r="38" spans="1:17" ht="18.75" customHeight="1" x14ac:dyDescent="0.3">
      <c r="A38" s="13"/>
      <c r="B38" s="14"/>
      <c r="C38" s="15"/>
      <c r="D38" s="26"/>
      <c r="E38" s="47" t="s">
        <v>235</v>
      </c>
      <c r="F38" s="26">
        <f>4%*D37</f>
        <v>13.541200000000002</v>
      </c>
      <c r="G38" s="26">
        <f>10%*D37</f>
        <v>33.853000000000002</v>
      </c>
      <c r="H38" s="26">
        <f>SUM(F38:G38)</f>
        <v>47.394200000000005</v>
      </c>
      <c r="I38" s="19"/>
      <c r="J38" s="19"/>
      <c r="K38" s="19"/>
      <c r="L38" s="19">
        <v>5</v>
      </c>
      <c r="M38" s="19">
        <f>SUM(I38:L38)</f>
        <v>5</v>
      </c>
      <c r="N38" s="35"/>
      <c r="O38" s="36" t="s">
        <v>268</v>
      </c>
      <c r="P38" s="161">
        <f t="shared" si="11"/>
        <v>28693802.800000001</v>
      </c>
      <c r="Q38" s="16"/>
    </row>
    <row r="39" spans="1:17" ht="15" customHeight="1" x14ac:dyDescent="0.3">
      <c r="A39" s="13"/>
      <c r="B39" s="14"/>
      <c r="C39" s="15"/>
      <c r="D39" s="26"/>
      <c r="E39" s="47" t="s">
        <v>234</v>
      </c>
      <c r="F39" s="26"/>
      <c r="G39" s="26">
        <f>15%*D37</f>
        <v>50.779500000000006</v>
      </c>
      <c r="H39" s="26">
        <f>F39+G39</f>
        <v>50.779500000000006</v>
      </c>
      <c r="I39" s="19"/>
      <c r="J39" s="19"/>
      <c r="K39" s="19"/>
      <c r="L39" s="19"/>
      <c r="M39" s="19"/>
      <c r="N39" s="35"/>
      <c r="O39" s="36" t="s">
        <v>269</v>
      </c>
      <c r="P39" s="161">
        <f t="shared" si="11"/>
        <v>43040704.20000001</v>
      </c>
      <c r="Q39" s="16"/>
    </row>
    <row r="40" spans="1:17" ht="14.25" customHeight="1" x14ac:dyDescent="0.3">
      <c r="A40" s="13"/>
      <c r="B40" s="14" t="s">
        <v>61</v>
      </c>
      <c r="C40" s="15" t="s">
        <v>27</v>
      </c>
      <c r="D40" s="26">
        <f>831.5+161.25</f>
        <v>992.75</v>
      </c>
      <c r="E40" s="50" t="s">
        <v>52</v>
      </c>
      <c r="F40" s="19">
        <v>0</v>
      </c>
      <c r="G40" s="26">
        <f>15%*D40</f>
        <v>148.91249999999999</v>
      </c>
      <c r="H40" s="26">
        <f t="shared" si="12"/>
        <v>148.91249999999999</v>
      </c>
      <c r="I40" s="19">
        <v>0</v>
      </c>
      <c r="J40" s="19">
        <v>0</v>
      </c>
      <c r="K40" s="19">
        <v>0</v>
      </c>
      <c r="L40" s="19">
        <v>7</v>
      </c>
      <c r="M40" s="19">
        <f t="shared" si="13"/>
        <v>7</v>
      </c>
      <c r="N40" s="35"/>
      <c r="O40" s="36" t="s">
        <v>270</v>
      </c>
      <c r="P40" s="161">
        <f t="shared" si="11"/>
        <v>126218235</v>
      </c>
      <c r="Q40" s="16"/>
    </row>
    <row r="41" spans="1:17" ht="15" customHeight="1" x14ac:dyDescent="0.3">
      <c r="A41" s="13"/>
      <c r="B41" s="14" t="s">
        <v>62</v>
      </c>
      <c r="C41" s="15" t="s">
        <v>28</v>
      </c>
      <c r="D41" s="26">
        <f>868+618.6</f>
        <v>1486.6</v>
      </c>
      <c r="E41" s="50" t="s">
        <v>52</v>
      </c>
      <c r="F41" s="19">
        <v>0</v>
      </c>
      <c r="G41" s="26">
        <f>20%*D41</f>
        <v>297.32</v>
      </c>
      <c r="H41" s="26">
        <f t="shared" si="12"/>
        <v>297.32</v>
      </c>
      <c r="I41" s="19">
        <v>0</v>
      </c>
      <c r="J41" s="19">
        <v>0</v>
      </c>
      <c r="K41" s="19">
        <v>5</v>
      </c>
      <c r="L41" s="19">
        <v>5</v>
      </c>
      <c r="M41" s="19">
        <f t="shared" si="13"/>
        <v>10</v>
      </c>
      <c r="N41" s="35"/>
      <c r="O41" s="36"/>
      <c r="P41" s="161">
        <f t="shared" si="11"/>
        <v>252008431.99999997</v>
      </c>
      <c r="Q41" s="16"/>
    </row>
    <row r="42" spans="1:17" ht="15" customHeight="1" x14ac:dyDescent="0.3">
      <c r="A42" s="13"/>
      <c r="B42" s="14" t="s">
        <v>63</v>
      </c>
      <c r="C42" s="15" t="s">
        <v>29</v>
      </c>
      <c r="D42" s="26">
        <f>1546+278.5</f>
        <v>1824.5</v>
      </c>
      <c r="E42" s="50" t="s">
        <v>52</v>
      </c>
      <c r="F42" s="19">
        <v>0</v>
      </c>
      <c r="G42" s="26">
        <f>21%*D42</f>
        <v>383.14499999999998</v>
      </c>
      <c r="H42" s="26">
        <f t="shared" si="12"/>
        <v>383.14499999999998</v>
      </c>
      <c r="I42" s="19">
        <v>0</v>
      </c>
      <c r="J42" s="19">
        <v>0</v>
      </c>
      <c r="K42" s="19">
        <v>0</v>
      </c>
      <c r="L42" s="19">
        <v>0</v>
      </c>
      <c r="M42" s="19">
        <f t="shared" si="13"/>
        <v>0</v>
      </c>
      <c r="N42" s="35"/>
      <c r="O42" s="36"/>
      <c r="P42" s="161">
        <f t="shared" si="11"/>
        <v>324753702</v>
      </c>
      <c r="Q42" s="16"/>
    </row>
    <row r="43" spans="1:17" ht="14.25" customHeight="1" x14ac:dyDescent="0.3">
      <c r="A43" s="13"/>
      <c r="B43" s="14" t="s">
        <v>64</v>
      </c>
      <c r="C43" s="15" t="s">
        <v>56</v>
      </c>
      <c r="D43" s="26">
        <f>156.4+34.9</f>
        <v>191.3</v>
      </c>
      <c r="E43" s="50" t="s">
        <v>52</v>
      </c>
      <c r="F43" s="19">
        <v>0</v>
      </c>
      <c r="G43" s="26">
        <f>10%*D43</f>
        <v>19.130000000000003</v>
      </c>
      <c r="H43" s="26">
        <f t="shared" si="12"/>
        <v>19.130000000000003</v>
      </c>
      <c r="I43" s="19">
        <v>0</v>
      </c>
      <c r="J43" s="19"/>
      <c r="K43" s="19"/>
      <c r="L43" s="19">
        <v>0</v>
      </c>
      <c r="M43" s="19">
        <f t="shared" si="13"/>
        <v>0</v>
      </c>
      <c r="N43" s="35"/>
      <c r="O43" s="36"/>
      <c r="P43" s="161">
        <f t="shared" si="11"/>
        <v>16214588.000000002</v>
      </c>
      <c r="Q43" s="16"/>
    </row>
    <row r="44" spans="1:17" ht="15" customHeight="1" x14ac:dyDescent="0.3">
      <c r="A44" s="13"/>
      <c r="B44" s="14" t="s">
        <v>65</v>
      </c>
      <c r="C44" s="15" t="s">
        <v>30</v>
      </c>
      <c r="D44" s="26">
        <f>1499.7+565.1</f>
        <v>2064.8000000000002</v>
      </c>
      <c r="E44" s="50" t="s">
        <v>52</v>
      </c>
      <c r="F44" s="19">
        <v>0</v>
      </c>
      <c r="G44" s="26">
        <f>10%*D44</f>
        <v>206.48000000000002</v>
      </c>
      <c r="H44" s="26">
        <f t="shared" si="12"/>
        <v>206.48000000000002</v>
      </c>
      <c r="I44" s="19">
        <v>0</v>
      </c>
      <c r="J44" s="19">
        <v>0</v>
      </c>
      <c r="K44" s="19">
        <v>0</v>
      </c>
      <c r="L44" s="19">
        <v>0</v>
      </c>
      <c r="M44" s="19">
        <f t="shared" si="13"/>
        <v>0</v>
      </c>
      <c r="N44" s="35"/>
      <c r="O44" s="36"/>
      <c r="P44" s="161">
        <f t="shared" si="11"/>
        <v>175012448</v>
      </c>
      <c r="Q44" s="16"/>
    </row>
    <row r="45" spans="1:17" ht="14.25" customHeight="1" x14ac:dyDescent="0.3">
      <c r="A45" s="13"/>
      <c r="B45" s="14" t="s">
        <v>66</v>
      </c>
      <c r="C45" s="15" t="s">
        <v>31</v>
      </c>
      <c r="D45" s="26">
        <f>1207+389</f>
        <v>1596</v>
      </c>
      <c r="E45" s="50" t="s">
        <v>52</v>
      </c>
      <c r="F45" s="19">
        <v>0</v>
      </c>
      <c r="G45" s="26">
        <f>10%*D45</f>
        <v>159.60000000000002</v>
      </c>
      <c r="H45" s="26">
        <f t="shared" si="12"/>
        <v>159.60000000000002</v>
      </c>
      <c r="I45" s="19">
        <v>0</v>
      </c>
      <c r="J45" s="19">
        <v>0</v>
      </c>
      <c r="K45" s="19">
        <v>0</v>
      </c>
      <c r="L45" s="19">
        <v>0</v>
      </c>
      <c r="M45" s="19">
        <f t="shared" si="13"/>
        <v>0</v>
      </c>
      <c r="N45" s="35"/>
      <c r="O45" s="36"/>
      <c r="P45" s="161">
        <f t="shared" si="11"/>
        <v>135276960.00000003</v>
      </c>
      <c r="Q45" s="16"/>
    </row>
    <row r="46" spans="1:17" ht="13.5" customHeight="1" x14ac:dyDescent="0.3">
      <c r="A46" s="13"/>
      <c r="B46" s="14" t="s">
        <v>67</v>
      </c>
      <c r="C46" s="15" t="s">
        <v>32</v>
      </c>
      <c r="D46" s="26">
        <f>998.9+79.5</f>
        <v>1078.4000000000001</v>
      </c>
      <c r="E46" s="50" t="s">
        <v>52</v>
      </c>
      <c r="F46" s="19">
        <v>0</v>
      </c>
      <c r="G46" s="26">
        <f>10%*D46</f>
        <v>107.84000000000002</v>
      </c>
      <c r="H46" s="26">
        <f t="shared" si="12"/>
        <v>107.84000000000002</v>
      </c>
      <c r="I46" s="19">
        <v>0</v>
      </c>
      <c r="J46" s="19">
        <v>0</v>
      </c>
      <c r="K46" s="19">
        <v>0</v>
      </c>
      <c r="L46" s="19">
        <v>0</v>
      </c>
      <c r="M46" s="19">
        <f t="shared" si="13"/>
        <v>0</v>
      </c>
      <c r="N46" s="35"/>
      <c r="O46" s="36"/>
      <c r="P46" s="161">
        <f t="shared" si="11"/>
        <v>91405184.000000015</v>
      </c>
      <c r="Q46" s="16"/>
    </row>
    <row r="47" spans="1:17" ht="15.75" customHeight="1" x14ac:dyDescent="0.3">
      <c r="A47" s="13"/>
      <c r="B47" s="14" t="s">
        <v>68</v>
      </c>
      <c r="C47" s="15" t="s">
        <v>33</v>
      </c>
      <c r="D47" s="26">
        <f>1304+57.5</f>
        <v>1361.5</v>
      </c>
      <c r="E47" s="50" t="s">
        <v>52</v>
      </c>
      <c r="F47" s="19">
        <v>0</v>
      </c>
      <c r="G47" s="26">
        <f>10%*D47</f>
        <v>136.15</v>
      </c>
      <c r="H47" s="26">
        <f t="shared" si="12"/>
        <v>136.15</v>
      </c>
      <c r="I47" s="19">
        <v>0</v>
      </c>
      <c r="J47" s="19"/>
      <c r="K47" s="19">
        <v>0</v>
      </c>
      <c r="L47" s="19">
        <v>0</v>
      </c>
      <c r="M47" s="19">
        <f t="shared" si="13"/>
        <v>0</v>
      </c>
      <c r="N47" s="35"/>
      <c r="O47" s="36"/>
      <c r="P47" s="161">
        <f t="shared" si="11"/>
        <v>115400740</v>
      </c>
      <c r="Q47" s="16"/>
    </row>
    <row r="48" spans="1:17" ht="14.25" customHeight="1" x14ac:dyDescent="0.3">
      <c r="A48" s="13"/>
      <c r="B48" s="14" t="s">
        <v>69</v>
      </c>
      <c r="C48" s="15" t="s">
        <v>34</v>
      </c>
      <c r="D48" s="26">
        <f>1784.1+362</f>
        <v>2146.1</v>
      </c>
      <c r="E48" s="50" t="s">
        <v>52</v>
      </c>
      <c r="F48" s="19">
        <v>0</v>
      </c>
      <c r="G48" s="26">
        <f>20%*D48</f>
        <v>429.22</v>
      </c>
      <c r="H48" s="26">
        <f t="shared" si="12"/>
        <v>429.22</v>
      </c>
      <c r="I48" s="19">
        <v>0</v>
      </c>
      <c r="J48" s="19"/>
      <c r="K48" s="19"/>
      <c r="L48" s="19">
        <v>6</v>
      </c>
      <c r="M48" s="19">
        <f t="shared" si="13"/>
        <v>6</v>
      </c>
      <c r="N48" s="35"/>
      <c r="O48" s="36"/>
      <c r="P48" s="161">
        <f t="shared" si="11"/>
        <v>363806872</v>
      </c>
      <c r="Q48" s="16"/>
    </row>
    <row r="49" spans="1:17" ht="13.5" customHeight="1" x14ac:dyDescent="0.3">
      <c r="A49" s="13"/>
      <c r="B49" s="14" t="s">
        <v>70</v>
      </c>
      <c r="C49" s="15" t="s">
        <v>35</v>
      </c>
      <c r="D49" s="26">
        <f>1557+181.5</f>
        <v>1738.5</v>
      </c>
      <c r="E49" s="50" t="s">
        <v>52</v>
      </c>
      <c r="F49" s="19">
        <v>0</v>
      </c>
      <c r="G49" s="26">
        <f>15%*D49</f>
        <v>260.77499999999998</v>
      </c>
      <c r="H49" s="26">
        <f t="shared" si="12"/>
        <v>260.77499999999998</v>
      </c>
      <c r="I49" s="19">
        <v>0</v>
      </c>
      <c r="J49" s="19">
        <v>0</v>
      </c>
      <c r="K49" s="19">
        <v>0</v>
      </c>
      <c r="L49" s="19">
        <v>0</v>
      </c>
      <c r="M49" s="19">
        <f t="shared" si="13"/>
        <v>0</v>
      </c>
      <c r="N49" s="35"/>
      <c r="O49" s="36"/>
      <c r="P49" s="161">
        <f t="shared" si="11"/>
        <v>221032889.99999997</v>
      </c>
      <c r="Q49" s="16"/>
    </row>
    <row r="50" spans="1:17" ht="18.75" customHeight="1" x14ac:dyDescent="0.3">
      <c r="A50" s="13"/>
      <c r="B50" s="14" t="s">
        <v>71</v>
      </c>
      <c r="C50" s="15" t="s">
        <v>21</v>
      </c>
      <c r="D50" s="26">
        <f>1940+114</f>
        <v>2054</v>
      </c>
      <c r="E50" s="50" t="s">
        <v>52</v>
      </c>
      <c r="F50" s="19">
        <v>0</v>
      </c>
      <c r="G50" s="26">
        <f>20%*D50</f>
        <v>410.8</v>
      </c>
      <c r="H50" s="26">
        <f t="shared" si="12"/>
        <v>410.8</v>
      </c>
      <c r="I50" s="19">
        <v>0</v>
      </c>
      <c r="J50" s="19">
        <v>0</v>
      </c>
      <c r="K50" s="19">
        <v>0</v>
      </c>
      <c r="L50" s="19">
        <v>0</v>
      </c>
      <c r="M50" s="19">
        <f t="shared" si="13"/>
        <v>0</v>
      </c>
      <c r="N50" s="35"/>
      <c r="O50" s="36"/>
      <c r="P50" s="161">
        <f t="shared" si="11"/>
        <v>348194080</v>
      </c>
      <c r="Q50" s="16"/>
    </row>
    <row r="51" spans="1:17" ht="14.25" customHeight="1" x14ac:dyDescent="0.3">
      <c r="A51" s="13"/>
      <c r="B51" s="14" t="s">
        <v>72</v>
      </c>
      <c r="C51" s="15" t="s">
        <v>42</v>
      </c>
      <c r="D51" s="26">
        <f>773.1+303.8</f>
        <v>1076.9000000000001</v>
      </c>
      <c r="E51" s="50" t="s">
        <v>52</v>
      </c>
      <c r="F51" s="19">
        <v>0</v>
      </c>
      <c r="G51" s="26">
        <f>20%*D51</f>
        <v>215.38000000000002</v>
      </c>
      <c r="H51" s="26">
        <f t="shared" si="12"/>
        <v>215.38000000000002</v>
      </c>
      <c r="I51" s="19">
        <v>0</v>
      </c>
      <c r="J51" s="19">
        <v>0</v>
      </c>
      <c r="K51" s="19">
        <v>0</v>
      </c>
      <c r="L51" s="19">
        <v>4</v>
      </c>
      <c r="M51" s="19">
        <f t="shared" si="13"/>
        <v>4</v>
      </c>
      <c r="N51" s="35"/>
      <c r="O51" s="36"/>
      <c r="P51" s="161">
        <f t="shared" si="11"/>
        <v>182556088.00000003</v>
      </c>
      <c r="Q51" s="16"/>
    </row>
    <row r="52" spans="1:17" ht="18" customHeight="1" x14ac:dyDescent="0.3">
      <c r="A52" s="13"/>
      <c r="B52" s="14" t="s">
        <v>73</v>
      </c>
      <c r="C52" s="15" t="s">
        <v>105</v>
      </c>
      <c r="D52" s="26">
        <f>153.8+8.7</f>
        <v>162.5</v>
      </c>
      <c r="E52" s="50" t="s">
        <v>52</v>
      </c>
      <c r="F52" s="19">
        <v>0</v>
      </c>
      <c r="G52" s="26">
        <f>15%*D52</f>
        <v>24.375</v>
      </c>
      <c r="H52" s="26">
        <f t="shared" si="12"/>
        <v>24.375</v>
      </c>
      <c r="I52" s="19">
        <v>0</v>
      </c>
      <c r="J52" s="19">
        <v>0</v>
      </c>
      <c r="K52" s="19">
        <v>0</v>
      </c>
      <c r="L52" s="19">
        <v>4</v>
      </c>
      <c r="M52" s="19">
        <f t="shared" si="13"/>
        <v>4</v>
      </c>
      <c r="N52" s="35"/>
      <c r="O52" s="36"/>
      <c r="P52" s="161">
        <f t="shared" si="11"/>
        <v>20660249.999999996</v>
      </c>
      <c r="Q52" s="16"/>
    </row>
    <row r="53" spans="1:17" ht="16.5" customHeight="1" x14ac:dyDescent="0.3">
      <c r="A53" s="13"/>
      <c r="B53" s="14" t="s">
        <v>74</v>
      </c>
      <c r="C53" s="15" t="s">
        <v>110</v>
      </c>
      <c r="D53" s="26">
        <f>695+48.2</f>
        <v>743.2</v>
      </c>
      <c r="E53" s="50" t="s">
        <v>52</v>
      </c>
      <c r="F53" s="19">
        <v>0</v>
      </c>
      <c r="G53" s="26">
        <f>10%*D53</f>
        <v>74.320000000000007</v>
      </c>
      <c r="H53" s="26">
        <f t="shared" si="12"/>
        <v>74.320000000000007</v>
      </c>
      <c r="I53" s="19">
        <v>0</v>
      </c>
      <c r="J53" s="19">
        <v>0</v>
      </c>
      <c r="K53" s="19">
        <v>0</v>
      </c>
      <c r="L53" s="19">
        <v>0</v>
      </c>
      <c r="M53" s="19">
        <f t="shared" si="13"/>
        <v>0</v>
      </c>
      <c r="N53" s="35"/>
      <c r="O53" s="36"/>
      <c r="P53" s="161">
        <f t="shared" si="11"/>
        <v>62993632.000000007</v>
      </c>
      <c r="Q53" s="16"/>
    </row>
    <row r="54" spans="1:17" ht="15.75" customHeight="1" x14ac:dyDescent="0.3">
      <c r="A54" s="13"/>
      <c r="B54" s="14" t="s">
        <v>75</v>
      </c>
      <c r="C54" s="15" t="s">
        <v>112</v>
      </c>
      <c r="D54" s="26">
        <f>375+14</f>
        <v>389</v>
      </c>
      <c r="E54" s="50" t="s">
        <v>52</v>
      </c>
      <c r="F54" s="19">
        <v>0</v>
      </c>
      <c r="G54" s="26">
        <f>15%*D54</f>
        <v>58.349999999999994</v>
      </c>
      <c r="H54" s="26">
        <f t="shared" si="12"/>
        <v>58.349999999999994</v>
      </c>
      <c r="I54" s="19">
        <v>0</v>
      </c>
      <c r="J54" s="19">
        <v>0</v>
      </c>
      <c r="K54" s="19">
        <v>0</v>
      </c>
      <c r="L54" s="19">
        <v>0</v>
      </c>
      <c r="M54" s="19">
        <f t="shared" si="13"/>
        <v>0</v>
      </c>
      <c r="N54" s="35"/>
      <c r="O54" s="36"/>
      <c r="P54" s="161">
        <f t="shared" si="11"/>
        <v>49457460</v>
      </c>
      <c r="Q54" s="16"/>
    </row>
    <row r="55" spans="1:17" ht="15.75" customHeight="1" x14ac:dyDescent="0.3">
      <c r="A55" s="13"/>
      <c r="B55" s="14" t="s">
        <v>104</v>
      </c>
      <c r="C55" s="15" t="s">
        <v>114</v>
      </c>
      <c r="D55" s="26">
        <f>73.5</f>
        <v>73.5</v>
      </c>
      <c r="E55" s="50" t="s">
        <v>52</v>
      </c>
      <c r="F55" s="19">
        <v>0</v>
      </c>
      <c r="G55" s="26">
        <f>10%*D55</f>
        <v>7.3500000000000005</v>
      </c>
      <c r="H55" s="26">
        <f t="shared" si="12"/>
        <v>7.3500000000000005</v>
      </c>
      <c r="I55" s="19">
        <v>0</v>
      </c>
      <c r="J55" s="19">
        <v>0</v>
      </c>
      <c r="K55" s="19">
        <v>0</v>
      </c>
      <c r="L55" s="19">
        <v>0</v>
      </c>
      <c r="M55" s="19">
        <f t="shared" si="13"/>
        <v>0</v>
      </c>
      <c r="N55" s="35"/>
      <c r="O55" s="36"/>
      <c r="P55" s="161">
        <f t="shared" si="11"/>
        <v>6229859.9999999991</v>
      </c>
      <c r="Q55" s="16"/>
    </row>
    <row r="56" spans="1:17" ht="14.25" customHeight="1" x14ac:dyDescent="0.3">
      <c r="A56" s="13"/>
      <c r="B56" s="14" t="s">
        <v>106</v>
      </c>
      <c r="C56" s="15" t="s">
        <v>22</v>
      </c>
      <c r="D56" s="26">
        <f>1130+101</f>
        <v>1231</v>
      </c>
      <c r="E56" s="50" t="s">
        <v>52</v>
      </c>
      <c r="F56" s="19">
        <v>0</v>
      </c>
      <c r="G56" s="26">
        <f>10%*D56</f>
        <v>123.10000000000001</v>
      </c>
      <c r="H56" s="26">
        <f t="shared" si="12"/>
        <v>123.10000000000001</v>
      </c>
      <c r="I56" s="19">
        <v>0</v>
      </c>
      <c r="J56" s="19">
        <v>0</v>
      </c>
      <c r="K56" s="19">
        <v>4</v>
      </c>
      <c r="L56" s="19">
        <v>0</v>
      </c>
      <c r="M56" s="19">
        <f t="shared" si="13"/>
        <v>4</v>
      </c>
      <c r="N56" s="35"/>
      <c r="O56" s="36"/>
      <c r="P56" s="161">
        <f t="shared" si="11"/>
        <v>104339560</v>
      </c>
      <c r="Q56" s="16"/>
    </row>
    <row r="57" spans="1:17" ht="15" customHeight="1" x14ac:dyDescent="0.3">
      <c r="A57" s="13"/>
      <c r="B57" s="14" t="s">
        <v>108</v>
      </c>
      <c r="C57" s="15" t="s">
        <v>180</v>
      </c>
      <c r="D57" s="26">
        <f>134.8+5</f>
        <v>139.80000000000001</v>
      </c>
      <c r="E57" s="47" t="s">
        <v>52</v>
      </c>
      <c r="F57" s="19">
        <v>0</v>
      </c>
      <c r="G57" s="26">
        <f>10%*D57</f>
        <v>13.980000000000002</v>
      </c>
      <c r="H57" s="26">
        <f t="shared" si="12"/>
        <v>13.980000000000002</v>
      </c>
      <c r="I57" s="19">
        <v>0</v>
      </c>
      <c r="J57" s="19">
        <v>0</v>
      </c>
      <c r="K57" s="19">
        <v>0</v>
      </c>
      <c r="L57" s="19">
        <v>0</v>
      </c>
      <c r="M57" s="19">
        <f t="shared" si="13"/>
        <v>0</v>
      </c>
      <c r="N57" s="35"/>
      <c r="O57" s="36"/>
      <c r="P57" s="161">
        <f t="shared" si="11"/>
        <v>11849448</v>
      </c>
      <c r="Q57" s="16"/>
    </row>
    <row r="58" spans="1:17" ht="16.5" customHeight="1" x14ac:dyDescent="0.3">
      <c r="A58" s="13"/>
      <c r="B58" s="14" t="s">
        <v>109</v>
      </c>
      <c r="C58" s="15" t="s">
        <v>43</v>
      </c>
      <c r="D58" s="26">
        <f>1189+216.6</f>
        <v>1405.6</v>
      </c>
      <c r="E58" s="50" t="s">
        <v>52</v>
      </c>
      <c r="F58" s="19">
        <v>0</v>
      </c>
      <c r="G58" s="26">
        <f>25%*D58</f>
        <v>351.4</v>
      </c>
      <c r="H58" s="26">
        <f t="shared" si="12"/>
        <v>351.4</v>
      </c>
      <c r="I58" s="19">
        <v>0</v>
      </c>
      <c r="J58" s="19">
        <v>0</v>
      </c>
      <c r="K58" s="19">
        <v>0</v>
      </c>
      <c r="L58" s="19">
        <v>0</v>
      </c>
      <c r="M58" s="19">
        <f t="shared" si="13"/>
        <v>0</v>
      </c>
      <c r="N58" s="35"/>
      <c r="O58" s="36"/>
      <c r="P58" s="161">
        <f t="shared" si="11"/>
        <v>297846640</v>
      </c>
      <c r="Q58" s="16"/>
    </row>
    <row r="59" spans="1:17" ht="14.25" customHeight="1" x14ac:dyDescent="0.3">
      <c r="A59" s="13"/>
      <c r="B59" s="55" t="s">
        <v>111</v>
      </c>
      <c r="C59" s="56" t="s">
        <v>44</v>
      </c>
      <c r="D59" s="57">
        <f>1396.6+127</f>
        <v>1523.6</v>
      </c>
      <c r="E59" s="78" t="s">
        <v>52</v>
      </c>
      <c r="F59" s="19">
        <v>0</v>
      </c>
      <c r="G59" s="26">
        <f>10%*D59</f>
        <v>152.35999999999999</v>
      </c>
      <c r="H59" s="26">
        <f t="shared" si="12"/>
        <v>152.35999999999999</v>
      </c>
      <c r="I59" s="19">
        <v>0</v>
      </c>
      <c r="J59" s="19">
        <v>0</v>
      </c>
      <c r="K59" s="19">
        <v>0</v>
      </c>
      <c r="L59" s="19">
        <v>10</v>
      </c>
      <c r="M59" s="19">
        <f t="shared" si="13"/>
        <v>10</v>
      </c>
      <c r="N59" s="35"/>
      <c r="O59" s="36"/>
      <c r="P59" s="161">
        <f t="shared" si="11"/>
        <v>129140335.99999999</v>
      </c>
      <c r="Q59" s="16"/>
    </row>
    <row r="60" spans="1:17" ht="14.25" customHeight="1" x14ac:dyDescent="0.3">
      <c r="A60" s="13"/>
      <c r="B60" s="14" t="s">
        <v>74</v>
      </c>
      <c r="C60" s="15" t="s">
        <v>43</v>
      </c>
      <c r="D60" s="26">
        <v>1189</v>
      </c>
      <c r="E60" s="50" t="s">
        <v>52</v>
      </c>
      <c r="F60" s="19">
        <v>0</v>
      </c>
      <c r="G60" s="26">
        <f>10%*D60</f>
        <v>118.9</v>
      </c>
      <c r="H60" s="26">
        <f t="shared" si="12"/>
        <v>118.9</v>
      </c>
      <c r="I60" s="19">
        <v>0</v>
      </c>
      <c r="J60" s="19"/>
      <c r="K60" s="19">
        <v>6</v>
      </c>
      <c r="L60" s="19">
        <v>5</v>
      </c>
      <c r="M60" s="19">
        <f t="shared" si="13"/>
        <v>11</v>
      </c>
      <c r="N60" s="35"/>
      <c r="O60" s="36"/>
      <c r="P60" s="161">
        <f t="shared" si="11"/>
        <v>100779640</v>
      </c>
      <c r="Q60" s="16"/>
    </row>
    <row r="61" spans="1:17" ht="18.75" customHeight="1" x14ac:dyDescent="0.3">
      <c r="A61" s="54"/>
      <c r="B61" s="55" t="s">
        <v>75</v>
      </c>
      <c r="C61" s="56" t="s">
        <v>44</v>
      </c>
      <c r="D61" s="57">
        <v>1391</v>
      </c>
      <c r="E61" s="78" t="s">
        <v>52</v>
      </c>
      <c r="F61" s="19">
        <v>0</v>
      </c>
      <c r="G61" s="26">
        <f>10%*D61</f>
        <v>139.1</v>
      </c>
      <c r="H61" s="26">
        <f t="shared" si="12"/>
        <v>139.1</v>
      </c>
      <c r="I61" s="19">
        <v>0</v>
      </c>
      <c r="J61" s="19"/>
      <c r="K61" s="19">
        <v>2</v>
      </c>
      <c r="L61" s="19">
        <v>9</v>
      </c>
      <c r="M61" s="19">
        <f t="shared" si="13"/>
        <v>11</v>
      </c>
      <c r="N61" s="35"/>
      <c r="O61" s="36"/>
      <c r="P61" s="161">
        <f t="shared" si="11"/>
        <v>117901159.99999999</v>
      </c>
      <c r="Q61" s="16"/>
    </row>
    <row r="62" spans="1:17" ht="14.25" customHeight="1" x14ac:dyDescent="0.3">
      <c r="A62" s="141"/>
      <c r="B62" s="117"/>
      <c r="C62" s="116"/>
      <c r="D62" s="109"/>
      <c r="E62" s="110" t="s">
        <v>223</v>
      </c>
      <c r="F62" s="90">
        <f>9%*D61</f>
        <v>125.19</v>
      </c>
      <c r="G62" s="90"/>
      <c r="H62" s="90">
        <f>SUM(F62:G62)</f>
        <v>125.19</v>
      </c>
      <c r="I62" s="19">
        <v>0</v>
      </c>
      <c r="J62" s="19">
        <v>0</v>
      </c>
      <c r="K62" s="19">
        <v>0</v>
      </c>
      <c r="L62" s="19">
        <v>9</v>
      </c>
      <c r="M62" s="19">
        <f t="shared" si="13"/>
        <v>9</v>
      </c>
      <c r="N62" s="80"/>
      <c r="O62" s="81"/>
      <c r="P62" s="161">
        <f t="shared" si="11"/>
        <v>0</v>
      </c>
      <c r="Q62" s="87"/>
    </row>
    <row r="63" spans="1:17" ht="25.5" customHeight="1" x14ac:dyDescent="0.3">
      <c r="A63" s="89"/>
      <c r="B63" s="72" t="s">
        <v>347</v>
      </c>
      <c r="C63" s="72"/>
      <c r="D63" s="84">
        <f>SUM(D33:D61)</f>
        <v>30736.879999999997</v>
      </c>
      <c r="E63" s="74"/>
      <c r="F63" s="83">
        <f>SUM(F40:F62)</f>
        <v>125.19</v>
      </c>
      <c r="G63" s="83">
        <f>SUM(G33:G62)</f>
        <v>4842.0370000000003</v>
      </c>
      <c r="H63" s="83">
        <f>SUM(H33:H62)</f>
        <v>4980.7681999999995</v>
      </c>
      <c r="I63" s="83">
        <f>SUM(I33:I62)</f>
        <v>0</v>
      </c>
      <c r="J63" s="83">
        <f>SUM(J33:J61)</f>
        <v>0</v>
      </c>
      <c r="K63" s="83">
        <f>SUM(K33:K61)</f>
        <v>27</v>
      </c>
      <c r="L63" s="83">
        <f>SUM(L33:L62)</f>
        <v>75</v>
      </c>
      <c r="M63" s="83">
        <f>SUM(M33:M61)</f>
        <v>93</v>
      </c>
      <c r="N63" s="76"/>
      <c r="O63" s="77"/>
      <c r="P63" s="162">
        <f>SUM(P33:P62)</f>
        <v>4104110561.1999998</v>
      </c>
      <c r="Q63" s="75"/>
    </row>
    <row r="64" spans="1:17" ht="18.75" customHeight="1" x14ac:dyDescent="0.3">
      <c r="A64" s="63">
        <v>4</v>
      </c>
      <c r="B64" s="64" t="s">
        <v>46</v>
      </c>
      <c r="C64" s="65"/>
      <c r="D64" s="66"/>
      <c r="E64" s="67"/>
      <c r="F64" s="82"/>
      <c r="G64" s="82"/>
      <c r="H64" s="82"/>
      <c r="I64" s="82"/>
      <c r="J64" s="82"/>
      <c r="K64" s="82"/>
      <c r="L64" s="82"/>
      <c r="M64" s="82"/>
      <c r="N64" s="69"/>
      <c r="O64" s="70"/>
      <c r="P64" s="70"/>
      <c r="Q64" s="68"/>
    </row>
    <row r="65" spans="1:17" ht="25.5" customHeight="1" x14ac:dyDescent="0.3">
      <c r="A65" s="102"/>
      <c r="B65" s="98" t="s">
        <v>57</v>
      </c>
      <c r="C65" s="99" t="s">
        <v>29</v>
      </c>
      <c r="D65" s="96">
        <v>175</v>
      </c>
      <c r="E65" s="101" t="s">
        <v>233</v>
      </c>
      <c r="F65" s="96"/>
      <c r="G65" s="96">
        <f>18%*D65</f>
        <v>31.5</v>
      </c>
      <c r="H65" s="96">
        <f>SUM(F65:G65)</f>
        <v>31.5</v>
      </c>
      <c r="I65" s="97">
        <v>0</v>
      </c>
      <c r="J65" s="97"/>
      <c r="K65" s="97">
        <v>0</v>
      </c>
      <c r="L65" s="97">
        <v>2</v>
      </c>
      <c r="M65" s="97">
        <f t="shared" ref="M65:M72" si="14">SUM(I65:L65)</f>
        <v>2</v>
      </c>
      <c r="N65" s="35" t="s">
        <v>51</v>
      </c>
      <c r="O65" s="36" t="s">
        <v>229</v>
      </c>
      <c r="P65" s="161">
        <f>G65*1.036*20%*6000000</f>
        <v>39160800</v>
      </c>
      <c r="Q65" s="16"/>
    </row>
    <row r="66" spans="1:17" ht="21.75" customHeight="1" x14ac:dyDescent="0.3">
      <c r="A66" s="13"/>
      <c r="B66" s="14" t="s">
        <v>58</v>
      </c>
      <c r="C66" s="15" t="s">
        <v>33</v>
      </c>
      <c r="D66" s="26">
        <v>368</v>
      </c>
      <c r="E66" s="47" t="s">
        <v>185</v>
      </c>
      <c r="F66" s="26">
        <f>0%*D66</f>
        <v>0</v>
      </c>
      <c r="G66" s="26">
        <f>18%*D66</f>
        <v>66.239999999999995</v>
      </c>
      <c r="H66" s="26">
        <f t="shared" ref="H66:H72" si="15">SUM(F66:G66)</f>
        <v>66.239999999999995</v>
      </c>
      <c r="I66" s="19">
        <v>0</v>
      </c>
      <c r="J66" s="19"/>
      <c r="K66" s="19">
        <v>0</v>
      </c>
      <c r="L66" s="19">
        <v>3</v>
      </c>
      <c r="M66" s="19">
        <f t="shared" si="14"/>
        <v>3</v>
      </c>
      <c r="N66" s="35" t="s">
        <v>51</v>
      </c>
      <c r="O66" s="36" t="s">
        <v>138</v>
      </c>
      <c r="P66" s="161">
        <f>G66*1.036*50%*6000000</f>
        <v>205873920</v>
      </c>
      <c r="Q66" s="16"/>
    </row>
    <row r="67" spans="1:17" ht="22.5" customHeight="1" x14ac:dyDescent="0.3">
      <c r="A67" s="13"/>
      <c r="B67" s="98" t="s">
        <v>59</v>
      </c>
      <c r="C67" s="99" t="s">
        <v>42</v>
      </c>
      <c r="D67" s="96">
        <v>774.98</v>
      </c>
      <c r="E67" s="101" t="s">
        <v>233</v>
      </c>
      <c r="F67" s="96">
        <f>0%*D67</f>
        <v>0</v>
      </c>
      <c r="G67" s="97">
        <f>13%*D67</f>
        <v>100.7474</v>
      </c>
      <c r="H67" s="96">
        <f t="shared" si="15"/>
        <v>100.7474</v>
      </c>
      <c r="I67" s="97">
        <v>0</v>
      </c>
      <c r="J67" s="97"/>
      <c r="K67" s="97">
        <v>0</v>
      </c>
      <c r="L67" s="97">
        <v>0</v>
      </c>
      <c r="M67" s="97">
        <f t="shared" si="14"/>
        <v>0</v>
      </c>
      <c r="N67" s="35"/>
      <c r="O67" s="36"/>
      <c r="P67" s="161">
        <f t="shared" ref="P67:P72" si="16">G67*1.036*20%*6000000</f>
        <v>125249167.68000002</v>
      </c>
      <c r="Q67" s="16"/>
    </row>
    <row r="68" spans="1:17" ht="25.5" customHeight="1" x14ac:dyDescent="0.3">
      <c r="A68" s="13"/>
      <c r="B68" s="98" t="s">
        <v>60</v>
      </c>
      <c r="C68" s="99" t="s">
        <v>21</v>
      </c>
      <c r="D68" s="96">
        <v>942.55</v>
      </c>
      <c r="E68" s="101" t="s">
        <v>186</v>
      </c>
      <c r="F68" s="96">
        <f>1%*D68</f>
        <v>9.4254999999999995</v>
      </c>
      <c r="G68" s="97">
        <f>7%*D68</f>
        <v>65.978499999999997</v>
      </c>
      <c r="H68" s="96">
        <f t="shared" si="15"/>
        <v>75.403999999999996</v>
      </c>
      <c r="I68" s="97">
        <v>0</v>
      </c>
      <c r="J68" s="97"/>
      <c r="K68" s="97">
        <v>0</v>
      </c>
      <c r="L68" s="97">
        <v>0</v>
      </c>
      <c r="M68" s="97">
        <f t="shared" si="14"/>
        <v>0</v>
      </c>
      <c r="N68" s="35"/>
      <c r="O68" s="36"/>
      <c r="P68" s="161">
        <f t="shared" si="16"/>
        <v>82024471.199999988</v>
      </c>
      <c r="Q68" s="16"/>
    </row>
    <row r="69" spans="1:17" ht="22.5" customHeight="1" x14ac:dyDescent="0.3">
      <c r="A69" s="13"/>
      <c r="B69" s="98"/>
      <c r="C69" s="99"/>
      <c r="D69" s="96"/>
      <c r="E69" s="101" t="s">
        <v>233</v>
      </c>
      <c r="F69" s="96"/>
      <c r="G69" s="96">
        <f>7%*D68</f>
        <v>65.978499999999997</v>
      </c>
      <c r="H69" s="96">
        <f>SUM(F69:G69)</f>
        <v>65.978499999999997</v>
      </c>
      <c r="I69" s="19">
        <v>0</v>
      </c>
      <c r="J69" s="19">
        <v>0</v>
      </c>
      <c r="K69" s="19">
        <v>0</v>
      </c>
      <c r="L69" s="19">
        <v>0</v>
      </c>
      <c r="M69" s="19">
        <f t="shared" si="14"/>
        <v>0</v>
      </c>
      <c r="N69" s="35"/>
      <c r="O69" s="36"/>
      <c r="P69" s="161">
        <f t="shared" si="16"/>
        <v>82024471.199999988</v>
      </c>
      <c r="Q69" s="16"/>
    </row>
    <row r="70" spans="1:17" ht="24" customHeight="1" x14ac:dyDescent="0.3">
      <c r="A70" s="16"/>
      <c r="B70" s="14" t="s">
        <v>61</v>
      </c>
      <c r="C70" s="15" t="s">
        <v>22</v>
      </c>
      <c r="D70" s="26">
        <v>1233.55</v>
      </c>
      <c r="E70" s="101" t="s">
        <v>233</v>
      </c>
      <c r="F70" s="26">
        <f>0%*D70</f>
        <v>0</v>
      </c>
      <c r="G70" s="19">
        <f>7%*D70</f>
        <v>86.348500000000001</v>
      </c>
      <c r="H70" s="26">
        <f t="shared" si="15"/>
        <v>86.348500000000001</v>
      </c>
      <c r="I70" s="19">
        <v>0</v>
      </c>
      <c r="J70" s="19"/>
      <c r="K70" s="19">
        <v>0</v>
      </c>
      <c r="L70" s="19">
        <v>1</v>
      </c>
      <c r="M70" s="19">
        <f t="shared" si="14"/>
        <v>1</v>
      </c>
      <c r="N70" s="35"/>
      <c r="O70" s="36"/>
      <c r="P70" s="161">
        <f t="shared" si="16"/>
        <v>107348455.20000002</v>
      </c>
      <c r="Q70" s="16"/>
    </row>
    <row r="71" spans="1:17" ht="21" customHeight="1" x14ac:dyDescent="0.3">
      <c r="A71" s="87"/>
      <c r="B71" s="55" t="s">
        <v>62</v>
      </c>
      <c r="C71" s="56" t="s">
        <v>43</v>
      </c>
      <c r="D71" s="57">
        <v>133</v>
      </c>
      <c r="E71" s="101" t="s">
        <v>233</v>
      </c>
      <c r="F71" s="26">
        <f>0%*D71</f>
        <v>0</v>
      </c>
      <c r="G71" s="19">
        <f>4%*D71</f>
        <v>5.32</v>
      </c>
      <c r="H71" s="26">
        <f t="shared" si="15"/>
        <v>5.32</v>
      </c>
      <c r="I71" s="19">
        <v>0</v>
      </c>
      <c r="J71" s="19"/>
      <c r="K71" s="19">
        <v>0</v>
      </c>
      <c r="L71" s="19">
        <v>2</v>
      </c>
      <c r="M71" s="19">
        <f t="shared" si="14"/>
        <v>2</v>
      </c>
      <c r="N71" s="35"/>
      <c r="O71" s="36"/>
      <c r="P71" s="161">
        <f t="shared" si="16"/>
        <v>6613824.0000000009</v>
      </c>
      <c r="Q71" s="16"/>
    </row>
    <row r="72" spans="1:17" ht="27.75" customHeight="1" x14ac:dyDescent="0.3">
      <c r="A72" s="16"/>
      <c r="B72" s="14" t="s">
        <v>63</v>
      </c>
      <c r="C72" s="15" t="s">
        <v>32</v>
      </c>
      <c r="D72" s="26">
        <v>298.5</v>
      </c>
      <c r="E72" s="101" t="s">
        <v>236</v>
      </c>
      <c r="F72" s="26">
        <f>0%*D72</f>
        <v>0</v>
      </c>
      <c r="G72" s="19">
        <f>3%*D72</f>
        <v>8.9550000000000001</v>
      </c>
      <c r="H72" s="26">
        <f t="shared" si="15"/>
        <v>8.9550000000000001</v>
      </c>
      <c r="I72" s="135">
        <v>0</v>
      </c>
      <c r="J72" s="135"/>
      <c r="K72" s="135">
        <v>0</v>
      </c>
      <c r="L72" s="135">
        <v>5</v>
      </c>
      <c r="M72" s="135">
        <f t="shared" si="14"/>
        <v>5</v>
      </c>
      <c r="N72" s="80"/>
      <c r="O72" s="81"/>
      <c r="P72" s="161">
        <f t="shared" si="16"/>
        <v>11132856.000000002</v>
      </c>
      <c r="Q72" s="87"/>
    </row>
    <row r="73" spans="1:17" ht="18.75" customHeight="1" x14ac:dyDescent="0.3">
      <c r="A73" s="75"/>
      <c r="B73" s="72" t="s">
        <v>348</v>
      </c>
      <c r="C73" s="72"/>
      <c r="D73" s="73">
        <f>SUM(D65:D72)</f>
        <v>3925.58</v>
      </c>
      <c r="E73" s="74"/>
      <c r="F73" s="73">
        <f t="shared" ref="F73:K73" si="17">SUM(F65:F72)</f>
        <v>9.4254999999999995</v>
      </c>
      <c r="G73" s="83">
        <f t="shared" si="17"/>
        <v>431.06789999999995</v>
      </c>
      <c r="H73" s="73">
        <f t="shared" si="17"/>
        <v>440.49339999999995</v>
      </c>
      <c r="I73" s="83">
        <f t="shared" si="17"/>
        <v>0</v>
      </c>
      <c r="J73" s="83">
        <f t="shared" si="17"/>
        <v>0</v>
      </c>
      <c r="K73" s="83">
        <f t="shared" si="17"/>
        <v>0</v>
      </c>
      <c r="L73" s="83">
        <f>SUM(L64:L72)</f>
        <v>13</v>
      </c>
      <c r="M73" s="83">
        <f>SUM(M65:M72)</f>
        <v>13</v>
      </c>
      <c r="N73" s="76"/>
      <c r="O73" s="77"/>
      <c r="P73" s="162">
        <f>SUM(P65:P72)</f>
        <v>659427965.27999997</v>
      </c>
      <c r="Q73" s="75"/>
    </row>
    <row r="74" spans="1:17" ht="16.5" customHeight="1" x14ac:dyDescent="0.3">
      <c r="A74" s="63">
        <v>5</v>
      </c>
      <c r="B74" s="64" t="s">
        <v>96</v>
      </c>
      <c r="C74" s="65"/>
      <c r="D74" s="66"/>
      <c r="E74" s="67"/>
      <c r="F74" s="66"/>
      <c r="G74" s="66"/>
      <c r="H74" s="66"/>
      <c r="I74" s="82"/>
      <c r="J74" s="82"/>
      <c r="K74" s="82"/>
      <c r="L74" s="82"/>
      <c r="M74" s="82"/>
      <c r="N74" s="69"/>
      <c r="O74" s="70"/>
      <c r="P74" s="70"/>
      <c r="Q74" s="68"/>
    </row>
    <row r="75" spans="1:17" ht="16.5" customHeight="1" x14ac:dyDescent="0.3">
      <c r="A75" s="16"/>
      <c r="B75" s="14" t="s">
        <v>57</v>
      </c>
      <c r="C75" s="15" t="s">
        <v>22</v>
      </c>
      <c r="D75" s="26">
        <v>9.5</v>
      </c>
      <c r="E75" s="47" t="s">
        <v>163</v>
      </c>
      <c r="F75" s="26">
        <f>10%*D75</f>
        <v>0.95000000000000007</v>
      </c>
      <c r="G75" s="26">
        <v>1</v>
      </c>
      <c r="H75" s="26">
        <f t="shared" ref="H75:H83" si="18">SUM(F75:G75)</f>
        <v>1.9500000000000002</v>
      </c>
      <c r="I75" s="19">
        <v>0</v>
      </c>
      <c r="J75" s="19"/>
      <c r="K75" s="19">
        <v>0</v>
      </c>
      <c r="L75" s="19">
        <v>1</v>
      </c>
      <c r="M75" s="19">
        <f>SUM(I75:L75)</f>
        <v>1</v>
      </c>
      <c r="N75" s="35"/>
      <c r="O75" s="36"/>
      <c r="P75" s="161">
        <f t="shared" ref="P75:P83" si="19">G75*0.486*30%*40000000</f>
        <v>5831999.9999999991</v>
      </c>
      <c r="Q75" s="16"/>
    </row>
    <row r="76" spans="1:17" ht="17.25" customHeight="1" x14ac:dyDescent="0.3">
      <c r="A76" s="16"/>
      <c r="B76" s="14" t="s">
        <v>58</v>
      </c>
      <c r="C76" s="15" t="s">
        <v>21</v>
      </c>
      <c r="D76" s="26">
        <v>18.11</v>
      </c>
      <c r="E76" s="47" t="s">
        <v>164</v>
      </c>
      <c r="F76" s="26">
        <f>11%*D76</f>
        <v>1.9921</v>
      </c>
      <c r="G76" s="26">
        <f>10%*D76</f>
        <v>1.8109999999999999</v>
      </c>
      <c r="H76" s="26">
        <f t="shared" si="18"/>
        <v>3.8030999999999997</v>
      </c>
      <c r="I76" s="19">
        <v>0</v>
      </c>
      <c r="J76" s="19"/>
      <c r="K76" s="19">
        <v>1</v>
      </c>
      <c r="L76" s="19">
        <v>1</v>
      </c>
      <c r="M76" s="19">
        <f t="shared" ref="M76:M83" si="20">SUM(I76:L76)</f>
        <v>2</v>
      </c>
      <c r="N76" s="35"/>
      <c r="O76" s="36" t="s">
        <v>50</v>
      </c>
      <c r="P76" s="161">
        <f t="shared" si="19"/>
        <v>10561752</v>
      </c>
      <c r="Q76" s="16"/>
    </row>
    <row r="77" spans="1:17" ht="16.5" customHeight="1" x14ac:dyDescent="0.3">
      <c r="A77" s="16"/>
      <c r="B77" s="14"/>
      <c r="C77" s="15"/>
      <c r="D77" s="26"/>
      <c r="E77" s="49" t="s">
        <v>187</v>
      </c>
      <c r="F77" s="96">
        <f>12%*D76</f>
        <v>2.1732</v>
      </c>
      <c r="G77" s="96">
        <v>0</v>
      </c>
      <c r="H77" s="96">
        <f t="shared" si="18"/>
        <v>2.1732</v>
      </c>
      <c r="I77" s="97">
        <v>0</v>
      </c>
      <c r="J77" s="97">
        <v>0</v>
      </c>
      <c r="K77" s="97">
        <v>0</v>
      </c>
      <c r="L77" s="97">
        <v>0</v>
      </c>
      <c r="M77" s="97">
        <f t="shared" si="20"/>
        <v>0</v>
      </c>
      <c r="N77" s="35"/>
      <c r="O77" s="36"/>
      <c r="P77" s="161">
        <f t="shared" si="19"/>
        <v>0</v>
      </c>
      <c r="Q77" s="16"/>
    </row>
    <row r="78" spans="1:17" ht="16.5" customHeight="1" x14ac:dyDescent="0.3">
      <c r="A78" s="16"/>
      <c r="B78" s="14" t="s">
        <v>59</v>
      </c>
      <c r="C78" s="15" t="s">
        <v>43</v>
      </c>
      <c r="D78" s="26">
        <v>19.79</v>
      </c>
      <c r="E78" s="47" t="s">
        <v>164</v>
      </c>
      <c r="F78" s="26">
        <f>9%*D78</f>
        <v>1.7810999999999999</v>
      </c>
      <c r="G78" s="26">
        <v>0</v>
      </c>
      <c r="H78" s="26">
        <f t="shared" si="18"/>
        <v>1.7810999999999999</v>
      </c>
      <c r="I78" s="19">
        <v>0</v>
      </c>
      <c r="J78" s="19"/>
      <c r="K78" s="19">
        <v>1</v>
      </c>
      <c r="L78" s="19">
        <v>0</v>
      </c>
      <c r="M78" s="19">
        <f t="shared" si="20"/>
        <v>1</v>
      </c>
      <c r="N78" s="35"/>
      <c r="O78" s="36" t="s">
        <v>137</v>
      </c>
      <c r="P78" s="161">
        <f t="shared" si="19"/>
        <v>0</v>
      </c>
      <c r="Q78" s="16"/>
    </row>
    <row r="79" spans="1:17" ht="17.25" customHeight="1" x14ac:dyDescent="0.3">
      <c r="A79" s="16"/>
      <c r="B79" s="14" t="s">
        <v>60</v>
      </c>
      <c r="C79" s="15" t="s">
        <v>44</v>
      </c>
      <c r="D79" s="26">
        <v>30.5</v>
      </c>
      <c r="E79" s="47" t="s">
        <v>164</v>
      </c>
      <c r="F79" s="26">
        <f>9%*D79</f>
        <v>2.7450000000000001</v>
      </c>
      <c r="G79" s="26">
        <v>0</v>
      </c>
      <c r="H79" s="26">
        <f t="shared" si="18"/>
        <v>2.7450000000000001</v>
      </c>
      <c r="I79" s="19">
        <v>0</v>
      </c>
      <c r="J79" s="19">
        <v>0</v>
      </c>
      <c r="K79" s="19">
        <v>0</v>
      </c>
      <c r="L79" s="19">
        <v>0</v>
      </c>
      <c r="M79" s="19">
        <f t="shared" si="20"/>
        <v>0</v>
      </c>
      <c r="N79" s="35"/>
      <c r="O79" s="36" t="s">
        <v>145</v>
      </c>
      <c r="P79" s="161">
        <f t="shared" si="19"/>
        <v>0</v>
      </c>
      <c r="Q79" s="16"/>
    </row>
    <row r="80" spans="1:17" ht="15.75" customHeight="1" x14ac:dyDescent="0.3">
      <c r="A80" s="16"/>
      <c r="B80" s="14" t="s">
        <v>61</v>
      </c>
      <c r="C80" s="15" t="s">
        <v>33</v>
      </c>
      <c r="D80" s="26">
        <v>8.3000000000000007</v>
      </c>
      <c r="E80" s="47" t="s">
        <v>164</v>
      </c>
      <c r="F80" s="26">
        <f>9%*D80</f>
        <v>0.747</v>
      </c>
      <c r="G80" s="26">
        <v>0</v>
      </c>
      <c r="H80" s="26">
        <f t="shared" si="18"/>
        <v>0.747</v>
      </c>
      <c r="I80" s="19">
        <v>0</v>
      </c>
      <c r="J80" s="19">
        <v>0</v>
      </c>
      <c r="K80" s="19">
        <v>0</v>
      </c>
      <c r="L80" s="19">
        <v>0</v>
      </c>
      <c r="M80" s="19">
        <f t="shared" si="20"/>
        <v>0</v>
      </c>
      <c r="N80" s="35"/>
      <c r="O80" s="36" t="s">
        <v>146</v>
      </c>
      <c r="P80" s="161">
        <f t="shared" si="19"/>
        <v>0</v>
      </c>
      <c r="Q80" s="16"/>
    </row>
    <row r="81" spans="1:17" ht="17.25" customHeight="1" x14ac:dyDescent="0.3">
      <c r="A81" s="16"/>
      <c r="B81" s="14" t="s">
        <v>62</v>
      </c>
      <c r="C81" s="15" t="s">
        <v>32</v>
      </c>
      <c r="D81" s="26">
        <v>1.25</v>
      </c>
      <c r="E81" s="47" t="s">
        <v>164</v>
      </c>
      <c r="F81" s="26">
        <f>1%*D81</f>
        <v>1.2500000000000001E-2</v>
      </c>
      <c r="G81" s="26">
        <v>0</v>
      </c>
      <c r="H81" s="26">
        <f t="shared" si="18"/>
        <v>1.2500000000000001E-2</v>
      </c>
      <c r="I81" s="19">
        <v>0</v>
      </c>
      <c r="J81" s="19">
        <v>0</v>
      </c>
      <c r="K81" s="19">
        <v>0</v>
      </c>
      <c r="L81" s="19">
        <v>0</v>
      </c>
      <c r="M81" s="19">
        <f t="shared" si="20"/>
        <v>0</v>
      </c>
      <c r="N81" s="35"/>
      <c r="O81" s="36"/>
      <c r="P81" s="161">
        <f t="shared" si="19"/>
        <v>0</v>
      </c>
      <c r="Q81" s="16"/>
    </row>
    <row r="82" spans="1:17" ht="16.5" customHeight="1" x14ac:dyDescent="0.3">
      <c r="A82" s="16"/>
      <c r="B82" s="14">
        <v>9</v>
      </c>
      <c r="C82" s="15" t="s">
        <v>30</v>
      </c>
      <c r="D82" s="26">
        <v>9.5</v>
      </c>
      <c r="E82" s="47" t="s">
        <v>164</v>
      </c>
      <c r="F82" s="26">
        <f>11%*D82</f>
        <v>1.0449999999999999</v>
      </c>
      <c r="G82" s="26">
        <v>0</v>
      </c>
      <c r="H82" s="26">
        <f t="shared" si="18"/>
        <v>1.0449999999999999</v>
      </c>
      <c r="I82" s="19">
        <v>0</v>
      </c>
      <c r="J82" s="19">
        <v>0</v>
      </c>
      <c r="K82" s="19">
        <v>0</v>
      </c>
      <c r="L82" s="19">
        <v>0</v>
      </c>
      <c r="M82" s="19">
        <f t="shared" si="20"/>
        <v>0</v>
      </c>
      <c r="N82" s="35"/>
      <c r="O82" s="36"/>
      <c r="P82" s="161">
        <f t="shared" si="19"/>
        <v>0</v>
      </c>
      <c r="Q82" s="16"/>
    </row>
    <row r="83" spans="1:17" ht="17.25" customHeight="1" x14ac:dyDescent="0.3">
      <c r="A83" s="87"/>
      <c r="B83" s="55" t="s">
        <v>64</v>
      </c>
      <c r="C83" s="56" t="s">
        <v>31</v>
      </c>
      <c r="D83" s="57">
        <v>6</v>
      </c>
      <c r="E83" s="85" t="s">
        <v>164</v>
      </c>
      <c r="F83" s="26">
        <f>14%*D83</f>
        <v>0.84000000000000008</v>
      </c>
      <c r="G83" s="26">
        <v>0</v>
      </c>
      <c r="H83" s="26">
        <f t="shared" si="18"/>
        <v>0.84000000000000008</v>
      </c>
      <c r="I83" s="79">
        <v>0</v>
      </c>
      <c r="J83" s="79">
        <v>0</v>
      </c>
      <c r="K83" s="79">
        <v>0</v>
      </c>
      <c r="L83" s="79">
        <v>0</v>
      </c>
      <c r="M83" s="79">
        <f t="shared" si="20"/>
        <v>0</v>
      </c>
      <c r="N83" s="80"/>
      <c r="O83" s="81"/>
      <c r="P83" s="161">
        <f t="shared" si="19"/>
        <v>0</v>
      </c>
      <c r="Q83" s="87"/>
    </row>
    <row r="84" spans="1:17" ht="18.75" customHeight="1" x14ac:dyDescent="0.3">
      <c r="A84" s="75"/>
      <c r="B84" s="72" t="s">
        <v>349</v>
      </c>
      <c r="C84" s="72"/>
      <c r="D84" s="73">
        <f>SUM(D75:D83)</f>
        <v>102.95</v>
      </c>
      <c r="E84" s="74"/>
      <c r="F84" s="73">
        <f t="shared" ref="F84:K84" si="21">SUM(F75:F83)</f>
        <v>12.2859</v>
      </c>
      <c r="G84" s="73">
        <f t="shared" si="21"/>
        <v>2.8109999999999999</v>
      </c>
      <c r="H84" s="73">
        <f t="shared" si="21"/>
        <v>15.0969</v>
      </c>
      <c r="I84" s="83">
        <f t="shared" si="21"/>
        <v>0</v>
      </c>
      <c r="J84" s="83">
        <f t="shared" si="21"/>
        <v>0</v>
      </c>
      <c r="K84" s="83">
        <f t="shared" si="21"/>
        <v>2</v>
      </c>
      <c r="L84" s="83">
        <f>SUM(L74:L83)</f>
        <v>2</v>
      </c>
      <c r="M84" s="83">
        <f>SUM(M75:M83)</f>
        <v>4</v>
      </c>
      <c r="N84" s="76"/>
      <c r="O84" s="77"/>
      <c r="P84" s="162">
        <f>SUM(P75:P83)</f>
        <v>16393752</v>
      </c>
      <c r="Q84" s="75"/>
    </row>
    <row r="85" spans="1:17" ht="17.25" customHeight="1" x14ac:dyDescent="0.3">
      <c r="A85" s="103">
        <v>6</v>
      </c>
      <c r="B85" s="104" t="s">
        <v>116</v>
      </c>
      <c r="C85" s="104"/>
      <c r="D85" s="105"/>
      <c r="E85" s="106"/>
      <c r="F85" s="105"/>
      <c r="G85" s="107"/>
      <c r="H85" s="105"/>
      <c r="I85" s="107"/>
      <c r="J85" s="107"/>
      <c r="K85" s="107"/>
      <c r="L85" s="107"/>
      <c r="M85" s="107"/>
      <c r="N85" s="69"/>
      <c r="O85" s="70"/>
      <c r="P85" s="70"/>
      <c r="Q85" s="68"/>
    </row>
    <row r="86" spans="1:17" ht="20.25" customHeight="1" x14ac:dyDescent="0.3">
      <c r="A86" s="27"/>
      <c r="B86" s="152" t="s">
        <v>57</v>
      </c>
      <c r="C86" s="153" t="s">
        <v>30</v>
      </c>
      <c r="D86" s="154">
        <v>57.9</v>
      </c>
      <c r="E86" s="101" t="s">
        <v>188</v>
      </c>
      <c r="F86" s="154">
        <f>3%*D86</f>
        <v>1.7369999999999999</v>
      </c>
      <c r="G86" s="155">
        <v>0</v>
      </c>
      <c r="H86" s="154">
        <f t="shared" ref="H86:H90" si="22">SUM(F86:G86)</f>
        <v>1.7369999999999999</v>
      </c>
      <c r="I86" s="155">
        <v>0</v>
      </c>
      <c r="J86" s="155"/>
      <c r="K86" s="155"/>
      <c r="L86" s="155">
        <v>0</v>
      </c>
      <c r="M86" s="155">
        <f>SUM(I86:L86)</f>
        <v>0</v>
      </c>
      <c r="N86" s="156" t="s">
        <v>86</v>
      </c>
      <c r="O86" s="40" t="s">
        <v>271</v>
      </c>
      <c r="P86" s="176">
        <f>G86*0.347*30*16000000</f>
        <v>0</v>
      </c>
      <c r="Q86" s="27"/>
    </row>
    <row r="87" spans="1:17" ht="22.5" customHeight="1" x14ac:dyDescent="0.3">
      <c r="A87" s="16"/>
      <c r="B87" s="14" t="s">
        <v>58</v>
      </c>
      <c r="C87" s="15" t="s">
        <v>44</v>
      </c>
      <c r="D87" s="26">
        <v>84.65</v>
      </c>
      <c r="E87" s="47" t="s">
        <v>182</v>
      </c>
      <c r="F87" s="26">
        <f>4%*D87</f>
        <v>3.3860000000000001</v>
      </c>
      <c r="G87" s="19">
        <v>0</v>
      </c>
      <c r="H87" s="26">
        <f t="shared" si="22"/>
        <v>3.3860000000000001</v>
      </c>
      <c r="I87" s="19">
        <v>0</v>
      </c>
      <c r="J87" s="19"/>
      <c r="K87" s="19">
        <v>2</v>
      </c>
      <c r="L87" s="19">
        <v>0</v>
      </c>
      <c r="M87" s="19">
        <f t="shared" ref="M87:M90" si="23">SUM(I87:L87)</f>
        <v>2</v>
      </c>
      <c r="N87" s="35"/>
      <c r="O87" s="36" t="s">
        <v>272</v>
      </c>
      <c r="P87" s="176">
        <f>G87*0.347*30*16000000</f>
        <v>0</v>
      </c>
      <c r="Q87" s="16"/>
    </row>
    <row r="88" spans="1:17" ht="29.25" customHeight="1" x14ac:dyDescent="0.3">
      <c r="A88" s="16"/>
      <c r="B88" s="14"/>
      <c r="C88" s="15"/>
      <c r="D88" s="26"/>
      <c r="E88" s="101" t="s">
        <v>181</v>
      </c>
      <c r="F88" s="96">
        <f>9%*D87</f>
        <v>7.6185</v>
      </c>
      <c r="G88" s="97">
        <v>0</v>
      </c>
      <c r="H88" s="96">
        <f t="shared" si="22"/>
        <v>7.6185</v>
      </c>
      <c r="I88" s="97">
        <v>0</v>
      </c>
      <c r="J88" s="97"/>
      <c r="K88" s="97">
        <v>0</v>
      </c>
      <c r="L88" s="97">
        <v>0</v>
      </c>
      <c r="M88" s="97">
        <f>SUM(I88:L88)</f>
        <v>0</v>
      </c>
      <c r="N88" s="35"/>
      <c r="O88" s="159" t="s">
        <v>273</v>
      </c>
      <c r="P88" s="176">
        <f>G88*0.347*30*16000000</f>
        <v>0</v>
      </c>
      <c r="Q88" s="16"/>
    </row>
    <row r="89" spans="1:17" ht="27.75" customHeight="1" x14ac:dyDescent="0.3">
      <c r="A89" s="16"/>
      <c r="B89" s="14" t="s">
        <v>59</v>
      </c>
      <c r="C89" s="15" t="s">
        <v>33</v>
      </c>
      <c r="D89" s="26">
        <v>14.2</v>
      </c>
      <c r="E89" s="101" t="s">
        <v>181</v>
      </c>
      <c r="F89" s="26">
        <f>10%*D89</f>
        <v>1.42</v>
      </c>
      <c r="G89" s="19">
        <v>0</v>
      </c>
      <c r="H89" s="26">
        <f t="shared" si="22"/>
        <v>1.42</v>
      </c>
      <c r="I89" s="19">
        <v>0</v>
      </c>
      <c r="J89" s="19"/>
      <c r="K89" s="19"/>
      <c r="L89" s="19"/>
      <c r="M89" s="19">
        <f t="shared" si="23"/>
        <v>0</v>
      </c>
      <c r="N89" s="35" t="s">
        <v>88</v>
      </c>
      <c r="O89" s="36" t="s">
        <v>274</v>
      </c>
      <c r="P89" s="176">
        <f>G89*0.347*30*16000000</f>
        <v>0</v>
      </c>
      <c r="Q89" s="16"/>
    </row>
    <row r="90" spans="1:17" ht="48" customHeight="1" x14ac:dyDescent="0.3">
      <c r="A90" s="108"/>
      <c r="B90" s="128" t="s">
        <v>61</v>
      </c>
      <c r="C90" s="126" t="s">
        <v>35</v>
      </c>
      <c r="D90" s="127">
        <v>36.72</v>
      </c>
      <c r="E90" s="142" t="s">
        <v>183</v>
      </c>
      <c r="F90" s="127">
        <f>7%*D90</f>
        <v>2.5704000000000002</v>
      </c>
      <c r="G90" s="143">
        <v>0</v>
      </c>
      <c r="H90" s="127">
        <f t="shared" si="22"/>
        <v>2.5704000000000002</v>
      </c>
      <c r="I90" s="143">
        <v>0</v>
      </c>
      <c r="J90" s="143">
        <v>0</v>
      </c>
      <c r="K90" s="143">
        <v>0</v>
      </c>
      <c r="L90" s="143">
        <v>0</v>
      </c>
      <c r="M90" s="143">
        <f t="shared" si="23"/>
        <v>0</v>
      </c>
      <c r="N90" s="157" t="s">
        <v>254</v>
      </c>
      <c r="O90" s="158" t="s">
        <v>137</v>
      </c>
      <c r="P90" s="176">
        <f>G90*0.347*30*16000000</f>
        <v>0</v>
      </c>
      <c r="Q90" s="87"/>
    </row>
    <row r="91" spans="1:17" ht="14.25" customHeight="1" x14ac:dyDescent="0.3">
      <c r="A91" s="75"/>
      <c r="B91" s="72" t="s">
        <v>352</v>
      </c>
      <c r="C91" s="137"/>
      <c r="D91" s="138">
        <f>SUM(D86:D90)</f>
        <v>193.47</v>
      </c>
      <c r="E91" s="139"/>
      <c r="F91" s="138">
        <f t="shared" ref="F91:M91" si="24">SUM(F86:F90)</f>
        <v>16.7319</v>
      </c>
      <c r="G91" s="140">
        <f t="shared" si="24"/>
        <v>0</v>
      </c>
      <c r="H91" s="138">
        <f t="shared" si="24"/>
        <v>16.7319</v>
      </c>
      <c r="I91" s="140">
        <f t="shared" si="24"/>
        <v>0</v>
      </c>
      <c r="J91" s="140">
        <f t="shared" si="24"/>
        <v>0</v>
      </c>
      <c r="K91" s="140">
        <f t="shared" si="24"/>
        <v>2</v>
      </c>
      <c r="L91" s="140">
        <f t="shared" si="24"/>
        <v>0</v>
      </c>
      <c r="M91" s="140">
        <f t="shared" si="24"/>
        <v>2</v>
      </c>
      <c r="N91" s="76"/>
      <c r="O91" s="77"/>
      <c r="P91" s="77"/>
      <c r="Q91" s="75"/>
    </row>
    <row r="92" spans="1:17" ht="13.5" customHeight="1" x14ac:dyDescent="0.3">
      <c r="A92" s="63">
        <v>7</v>
      </c>
      <c r="B92" s="8" t="s">
        <v>117</v>
      </c>
      <c r="C92" s="10"/>
      <c r="D92" s="90"/>
      <c r="E92" s="67"/>
      <c r="F92" s="66"/>
      <c r="G92" s="82"/>
      <c r="H92" s="66"/>
      <c r="I92" s="82"/>
      <c r="J92" s="82"/>
      <c r="K92" s="82"/>
      <c r="L92" s="82"/>
      <c r="M92" s="82"/>
      <c r="N92" s="69"/>
      <c r="O92" s="70"/>
      <c r="P92" s="70"/>
      <c r="Q92" s="68"/>
    </row>
    <row r="93" spans="1:17" ht="24.75" customHeight="1" x14ac:dyDescent="0.3">
      <c r="A93" s="16"/>
      <c r="B93" s="14" t="s">
        <v>57</v>
      </c>
      <c r="C93" s="15" t="s">
        <v>22</v>
      </c>
      <c r="D93" s="26">
        <v>296.95</v>
      </c>
      <c r="E93" s="101" t="s">
        <v>203</v>
      </c>
      <c r="F93" s="96">
        <f>4%*D93</f>
        <v>11.878</v>
      </c>
      <c r="G93" s="97">
        <v>0</v>
      </c>
      <c r="H93" s="96">
        <f t="shared" ref="H93:H101" si="25">SUM(F93:G93)</f>
        <v>11.878</v>
      </c>
      <c r="I93" s="97">
        <v>0</v>
      </c>
      <c r="J93" s="97"/>
      <c r="K93" s="97">
        <v>0</v>
      </c>
      <c r="L93" s="97">
        <v>5</v>
      </c>
      <c r="M93" s="97">
        <f>SUM(I93:L93)</f>
        <v>5</v>
      </c>
      <c r="N93" s="35"/>
      <c r="O93" s="40" t="s">
        <v>211</v>
      </c>
      <c r="P93" s="167">
        <f t="shared" ref="P93:P102" si="26">G93*0.3*30%*50000000</f>
        <v>0</v>
      </c>
      <c r="Q93" s="16"/>
    </row>
    <row r="94" spans="1:17" ht="15" customHeight="1" x14ac:dyDescent="0.3">
      <c r="A94" s="16"/>
      <c r="B94" s="14"/>
      <c r="C94" s="15"/>
      <c r="D94" s="26"/>
      <c r="E94" s="101" t="s">
        <v>220</v>
      </c>
      <c r="F94" s="96">
        <f>1%*D93</f>
        <v>2.9695</v>
      </c>
      <c r="G94" s="97"/>
      <c r="H94" s="96">
        <f>SUM(F94:G94)</f>
        <v>2.9695</v>
      </c>
      <c r="I94" s="97">
        <v>0</v>
      </c>
      <c r="J94" s="97"/>
      <c r="K94" s="97">
        <v>0</v>
      </c>
      <c r="L94" s="97">
        <v>3</v>
      </c>
      <c r="M94" s="97">
        <f>SUM(I94:L94)</f>
        <v>3</v>
      </c>
      <c r="N94" s="35"/>
      <c r="O94" s="40"/>
      <c r="P94" s="167">
        <f t="shared" si="26"/>
        <v>0</v>
      </c>
      <c r="Q94" s="16"/>
    </row>
    <row r="95" spans="1:17" ht="32.25" customHeight="1" x14ac:dyDescent="0.3">
      <c r="A95" s="16"/>
      <c r="B95" s="14" t="s">
        <v>58</v>
      </c>
      <c r="C95" s="15" t="s">
        <v>42</v>
      </c>
      <c r="D95" s="26">
        <v>248.5</v>
      </c>
      <c r="E95" s="101" t="s">
        <v>203</v>
      </c>
      <c r="F95" s="96">
        <f>3%*D95</f>
        <v>7.4550000000000001</v>
      </c>
      <c r="G95" s="97">
        <v>0</v>
      </c>
      <c r="H95" s="96">
        <f t="shared" si="25"/>
        <v>7.4550000000000001</v>
      </c>
      <c r="I95" s="97">
        <v>0</v>
      </c>
      <c r="J95" s="97"/>
      <c r="K95" s="97">
        <v>0</v>
      </c>
      <c r="L95" s="97">
        <v>4</v>
      </c>
      <c r="M95" s="97">
        <f>SUM(I95:L95)</f>
        <v>4</v>
      </c>
      <c r="N95" s="35"/>
      <c r="O95" s="40" t="s">
        <v>137</v>
      </c>
      <c r="P95" s="167">
        <f t="shared" si="26"/>
        <v>0</v>
      </c>
      <c r="Q95" s="16"/>
    </row>
    <row r="96" spans="1:17" ht="14.25" customHeight="1" x14ac:dyDescent="0.3">
      <c r="A96" s="16"/>
      <c r="B96" s="14"/>
      <c r="C96" s="15"/>
      <c r="D96" s="26"/>
      <c r="E96" s="101" t="s">
        <v>220</v>
      </c>
      <c r="F96" s="96">
        <f>5%*D95</f>
        <v>12.425000000000001</v>
      </c>
      <c r="G96" s="97"/>
      <c r="H96" s="96">
        <f>SUM(F96:G96)</f>
        <v>12.425000000000001</v>
      </c>
      <c r="I96" s="97"/>
      <c r="J96" s="97"/>
      <c r="K96" s="97"/>
      <c r="L96" s="97"/>
      <c r="M96" s="97"/>
      <c r="N96" s="35"/>
      <c r="O96" s="40"/>
      <c r="P96" s="167">
        <f t="shared" si="26"/>
        <v>0</v>
      </c>
      <c r="Q96" s="16"/>
    </row>
    <row r="97" spans="1:17" ht="22.5" customHeight="1" x14ac:dyDescent="0.3">
      <c r="A97" s="16"/>
      <c r="B97" s="14" t="s">
        <v>59</v>
      </c>
      <c r="C97" s="15" t="s">
        <v>21</v>
      </c>
      <c r="D97" s="18">
        <v>156.94999999999999</v>
      </c>
      <c r="E97" s="101" t="s">
        <v>203</v>
      </c>
      <c r="F97" s="145"/>
      <c r="G97" s="146">
        <v>5</v>
      </c>
      <c r="H97" s="96">
        <f t="shared" si="25"/>
        <v>5</v>
      </c>
      <c r="I97" s="97">
        <v>0</v>
      </c>
      <c r="J97" s="97"/>
      <c r="K97" s="97">
        <v>0</v>
      </c>
      <c r="L97" s="97">
        <v>3</v>
      </c>
      <c r="M97" s="97">
        <f>SUM(I97:L97)</f>
        <v>3</v>
      </c>
      <c r="N97" s="35"/>
      <c r="O97" s="36"/>
      <c r="P97" s="167">
        <f t="shared" si="26"/>
        <v>22499999.999999996</v>
      </c>
      <c r="Q97" s="16"/>
    </row>
    <row r="98" spans="1:17" ht="15.75" customHeight="1" x14ac:dyDescent="0.3">
      <c r="A98" s="16"/>
      <c r="B98" s="14"/>
      <c r="C98" s="15"/>
      <c r="D98" s="18"/>
      <c r="E98" s="101" t="s">
        <v>220</v>
      </c>
      <c r="F98" s="96">
        <f>5%*D97</f>
        <v>7.8475000000000001</v>
      </c>
      <c r="G98" s="97"/>
      <c r="H98" s="96">
        <f>SUM(F98:G98)</f>
        <v>7.8475000000000001</v>
      </c>
      <c r="I98" s="97"/>
      <c r="J98" s="97"/>
      <c r="K98" s="97"/>
      <c r="L98" s="97"/>
      <c r="M98" s="97"/>
      <c r="N98" s="35"/>
      <c r="O98" s="36"/>
      <c r="P98" s="167">
        <f t="shared" si="26"/>
        <v>0</v>
      </c>
      <c r="Q98" s="16"/>
    </row>
    <row r="99" spans="1:17" ht="24" customHeight="1" x14ac:dyDescent="0.3">
      <c r="A99" s="16"/>
      <c r="B99" s="14" t="s">
        <v>60</v>
      </c>
      <c r="C99" s="15" t="s">
        <v>43</v>
      </c>
      <c r="D99" s="26">
        <v>455.8</v>
      </c>
      <c r="E99" s="101" t="s">
        <v>221</v>
      </c>
      <c r="F99" s="96">
        <f>5%*D99</f>
        <v>22.790000000000003</v>
      </c>
      <c r="G99" s="97">
        <v>0</v>
      </c>
      <c r="H99" s="96">
        <f t="shared" si="25"/>
        <v>22.790000000000003</v>
      </c>
      <c r="I99" s="97">
        <v>0</v>
      </c>
      <c r="J99" s="97"/>
      <c r="K99" s="97">
        <v>0</v>
      </c>
      <c r="L99" s="97">
        <v>2</v>
      </c>
      <c r="M99" s="97">
        <f>SUM(I99:L99)</f>
        <v>2</v>
      </c>
      <c r="N99" s="35"/>
      <c r="O99" s="36"/>
      <c r="P99" s="167">
        <f t="shared" si="26"/>
        <v>0</v>
      </c>
      <c r="Q99" s="16"/>
    </row>
    <row r="100" spans="1:17" ht="20.25" customHeight="1" x14ac:dyDescent="0.3">
      <c r="A100" s="16"/>
      <c r="B100" s="14"/>
      <c r="C100" s="15"/>
      <c r="D100" s="26"/>
      <c r="E100" s="101" t="s">
        <v>220</v>
      </c>
      <c r="F100" s="96"/>
      <c r="G100" s="96">
        <f>10%*D99</f>
        <v>45.580000000000005</v>
      </c>
      <c r="H100" s="96">
        <f>SUM(F100:G100)</f>
        <v>45.580000000000005</v>
      </c>
      <c r="I100" s="97"/>
      <c r="J100" s="97"/>
      <c r="K100" s="97"/>
      <c r="L100" s="97"/>
      <c r="M100" s="97"/>
      <c r="N100" s="35"/>
      <c r="O100" s="36"/>
      <c r="P100" s="167">
        <f t="shared" si="26"/>
        <v>205110000</v>
      </c>
      <c r="Q100" s="16"/>
    </row>
    <row r="101" spans="1:17" ht="23.25" customHeight="1" x14ac:dyDescent="0.3">
      <c r="A101" s="16"/>
      <c r="B101" s="14" t="s">
        <v>61</v>
      </c>
      <c r="C101" s="15" t="s">
        <v>44</v>
      </c>
      <c r="D101" s="26">
        <v>87.95</v>
      </c>
      <c r="E101" s="101" t="s">
        <v>203</v>
      </c>
      <c r="F101" s="26">
        <f>10%*D101</f>
        <v>8.7949999999999999</v>
      </c>
      <c r="G101" s="19">
        <v>0</v>
      </c>
      <c r="H101" s="26">
        <f t="shared" si="25"/>
        <v>8.7949999999999999</v>
      </c>
      <c r="I101" s="19">
        <v>0</v>
      </c>
      <c r="J101" s="19"/>
      <c r="K101" s="19">
        <v>2</v>
      </c>
      <c r="L101" s="19">
        <v>3</v>
      </c>
      <c r="M101" s="19">
        <f t="shared" ref="M101:M103" si="27">SUM(I101:L101)</f>
        <v>5</v>
      </c>
      <c r="N101" s="35"/>
      <c r="O101" s="36"/>
      <c r="P101" s="167">
        <f t="shared" si="26"/>
        <v>0</v>
      </c>
      <c r="Q101" s="16"/>
    </row>
    <row r="102" spans="1:17" ht="18.75" customHeight="1" x14ac:dyDescent="0.3">
      <c r="A102" s="16"/>
      <c r="B102" s="14"/>
      <c r="C102" s="15"/>
      <c r="D102" s="26"/>
      <c r="E102" s="101" t="s">
        <v>220</v>
      </c>
      <c r="F102" s="26"/>
      <c r="G102" s="26">
        <f>5%*D101</f>
        <v>4.3975</v>
      </c>
      <c r="H102" s="26">
        <f>SUM(F102:G102)</f>
        <v>4.3975</v>
      </c>
      <c r="I102" s="97">
        <v>0</v>
      </c>
      <c r="J102" s="97">
        <v>0</v>
      </c>
      <c r="K102" s="97">
        <v>0</v>
      </c>
      <c r="L102" s="97">
        <v>0</v>
      </c>
      <c r="M102" s="97">
        <f t="shared" si="27"/>
        <v>0</v>
      </c>
      <c r="N102" s="35"/>
      <c r="O102" s="36"/>
      <c r="P102" s="167">
        <f t="shared" si="26"/>
        <v>19788750</v>
      </c>
      <c r="Q102" s="16"/>
    </row>
    <row r="103" spans="1:17" ht="7.5" customHeight="1" x14ac:dyDescent="0.3">
      <c r="A103" s="87"/>
      <c r="B103" s="55"/>
      <c r="C103" s="56"/>
      <c r="D103" s="57"/>
      <c r="E103" s="132"/>
      <c r="F103" s="124"/>
      <c r="G103" s="124"/>
      <c r="H103" s="124">
        <f>SUM(F103:G103)</f>
        <v>0</v>
      </c>
      <c r="I103" s="133">
        <v>0</v>
      </c>
      <c r="J103" s="133">
        <v>0</v>
      </c>
      <c r="K103" s="133">
        <v>0</v>
      </c>
      <c r="L103" s="133">
        <v>0</v>
      </c>
      <c r="M103" s="133">
        <f t="shared" si="27"/>
        <v>0</v>
      </c>
      <c r="N103" s="80"/>
      <c r="O103" s="81"/>
      <c r="P103" s="81"/>
      <c r="Q103" s="87"/>
    </row>
    <row r="104" spans="1:17" ht="18.75" customHeight="1" x14ac:dyDescent="0.3">
      <c r="A104" s="75"/>
      <c r="B104" s="71"/>
      <c r="C104" s="72"/>
      <c r="D104" s="73">
        <f>SUM(D93:D103)</f>
        <v>1246.1500000000001</v>
      </c>
      <c r="E104" s="74"/>
      <c r="F104" s="73">
        <f>SUM(F86:F103)</f>
        <v>107.6238</v>
      </c>
      <c r="G104" s="83">
        <f>SUM(G86:G103)</f>
        <v>54.977500000000006</v>
      </c>
      <c r="H104" s="73">
        <f>SUM(H86:H103)</f>
        <v>162.60130000000001</v>
      </c>
      <c r="I104" s="83">
        <f>SUM(I93:I103)</f>
        <v>0</v>
      </c>
      <c r="J104" s="83">
        <f>SUM(J93:J103)</f>
        <v>0</v>
      </c>
      <c r="K104" s="83">
        <f>SUM(K93:K103)</f>
        <v>2</v>
      </c>
      <c r="L104" s="83">
        <f>SUM(L93:L103)</f>
        <v>20</v>
      </c>
      <c r="M104" s="83">
        <f>SUM(M92:M103)</f>
        <v>22</v>
      </c>
      <c r="N104" s="76"/>
      <c r="O104" s="77"/>
      <c r="P104" s="168">
        <f>SUM(P93:P103)</f>
        <v>247398750</v>
      </c>
      <c r="Q104" s="75"/>
    </row>
    <row r="105" spans="1:17" ht="8.25" customHeight="1" x14ac:dyDescent="0.3">
      <c r="F105" s="2"/>
      <c r="G105" s="2"/>
      <c r="H105" s="2"/>
      <c r="I105" s="2"/>
      <c r="J105" s="2"/>
      <c r="K105" s="2"/>
      <c r="L105" s="2"/>
      <c r="M105" s="2"/>
    </row>
    <row r="106" spans="1:17" ht="14.25" customHeight="1" x14ac:dyDescent="0.3">
      <c r="F106" s="2"/>
      <c r="G106" s="2"/>
      <c r="H106" s="2"/>
      <c r="I106" s="2"/>
      <c r="J106" s="2" t="s">
        <v>286</v>
      </c>
      <c r="K106" s="2"/>
      <c r="L106" s="2"/>
      <c r="M106" s="2"/>
    </row>
    <row r="107" spans="1:17" ht="12" customHeight="1" x14ac:dyDescent="0.3">
      <c r="A107" s="395" t="s">
        <v>80</v>
      </c>
      <c r="B107" s="395"/>
      <c r="C107" s="395"/>
      <c r="D107" s="395"/>
    </row>
    <row r="108" spans="1:17" x14ac:dyDescent="0.3">
      <c r="A108" s="395" t="s">
        <v>81</v>
      </c>
      <c r="B108" s="395"/>
      <c r="C108" s="395"/>
      <c r="D108" s="395"/>
      <c r="J108" s="1" t="s">
        <v>85</v>
      </c>
    </row>
    <row r="109" spans="1:17" x14ac:dyDescent="0.3">
      <c r="A109" s="395" t="s">
        <v>82</v>
      </c>
      <c r="B109" s="395"/>
      <c r="C109" s="395"/>
      <c r="D109" s="395"/>
      <c r="J109" s="3" t="s">
        <v>86</v>
      </c>
      <c r="K109" s="1" t="s">
        <v>87</v>
      </c>
      <c r="O109" s="1" t="s">
        <v>90</v>
      </c>
    </row>
    <row r="110" spans="1:17" x14ac:dyDescent="0.3">
      <c r="A110" s="395" t="s">
        <v>83</v>
      </c>
      <c r="B110" s="395"/>
      <c r="C110" s="395"/>
      <c r="D110" s="395"/>
      <c r="K110" s="1" t="s">
        <v>91</v>
      </c>
    </row>
    <row r="111" spans="1:17" ht="13.5" customHeight="1" x14ac:dyDescent="0.3"/>
    <row r="112" spans="1:17" x14ac:dyDescent="0.3">
      <c r="J112" s="3" t="s">
        <v>88</v>
      </c>
      <c r="K112" s="1" t="s">
        <v>89</v>
      </c>
      <c r="O112" s="1" t="s">
        <v>90</v>
      </c>
    </row>
    <row r="113" spans="1:15" x14ac:dyDescent="0.3">
      <c r="K113" s="1" t="s">
        <v>92</v>
      </c>
    </row>
    <row r="114" spans="1:15" x14ac:dyDescent="0.3">
      <c r="A114" s="398" t="s">
        <v>175</v>
      </c>
      <c r="B114" s="398"/>
      <c r="C114" s="398"/>
      <c r="D114" s="398"/>
    </row>
    <row r="115" spans="1:15" x14ac:dyDescent="0.3">
      <c r="A115" s="395" t="s">
        <v>190</v>
      </c>
      <c r="B115" s="395"/>
      <c r="C115" s="395"/>
      <c r="D115" s="395"/>
      <c r="J115" s="1" t="s">
        <v>254</v>
      </c>
      <c r="K115" s="1" t="s">
        <v>255</v>
      </c>
      <c r="O115" s="1" t="s">
        <v>90</v>
      </c>
    </row>
    <row r="116" spans="1:15" x14ac:dyDescent="0.3">
      <c r="K116" s="1" t="s">
        <v>256</v>
      </c>
    </row>
  </sheetData>
  <mergeCells count="21">
    <mergeCell ref="A114:D114"/>
    <mergeCell ref="A115:D115"/>
    <mergeCell ref="B7:C7"/>
    <mergeCell ref="O26:O30"/>
    <mergeCell ref="A107:D107"/>
    <mergeCell ref="A108:D108"/>
    <mergeCell ref="A109:D109"/>
    <mergeCell ref="A110:D110"/>
    <mergeCell ref="B24:C24"/>
    <mergeCell ref="B31:C31"/>
    <mergeCell ref="A1:Q1"/>
    <mergeCell ref="A2:Q2"/>
    <mergeCell ref="A6:A7"/>
    <mergeCell ref="B6:C6"/>
    <mergeCell ref="D6:D7"/>
    <mergeCell ref="E6:E7"/>
    <mergeCell ref="F6:H6"/>
    <mergeCell ref="I6:M6"/>
    <mergeCell ref="N6:O7"/>
    <mergeCell ref="Q6:Q7"/>
    <mergeCell ref="P6:P7"/>
  </mergeCells>
  <pageMargins left="0.51" right="0.70866141732283472" top="0.74803149606299213" bottom="0.74803149606299213" header="0.31496062992125984" footer="0.31496062992125984"/>
  <pageSetup paperSize="5" scale="90" orientation="landscape" horizontalDpi="4294967293"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AP179"/>
  <sheetViews>
    <sheetView topLeftCell="A154" workbookViewId="0">
      <selection activeCell="C2" sqref="C2"/>
    </sheetView>
  </sheetViews>
  <sheetFormatPr defaultColWidth="17.1796875" defaultRowHeight="15.5" x14ac:dyDescent="0.35"/>
  <cols>
    <col min="1" max="1" width="5.453125" style="186" customWidth="1"/>
    <col min="2" max="2" width="37.26953125" style="186" customWidth="1"/>
    <col min="3" max="3" width="51" style="186" customWidth="1"/>
    <col min="4" max="4" width="30.7265625" style="186" customWidth="1"/>
    <col min="5" max="5" width="14.81640625" style="186" customWidth="1"/>
    <col min="6" max="16384" width="17.1796875" style="186"/>
  </cols>
  <sheetData>
    <row r="1" spans="1:5" x14ac:dyDescent="0.35">
      <c r="C1" s="187" t="s">
        <v>353</v>
      </c>
      <c r="D1" s="186" t="s">
        <v>354</v>
      </c>
    </row>
    <row r="2" spans="1:5" x14ac:dyDescent="0.35">
      <c r="C2" s="187"/>
      <c r="D2" s="186" t="s">
        <v>355</v>
      </c>
    </row>
    <row r="3" spans="1:5" x14ac:dyDescent="0.35">
      <c r="D3" s="188" t="s">
        <v>356</v>
      </c>
      <c r="E3" s="188"/>
    </row>
    <row r="4" spans="1:5" x14ac:dyDescent="0.35">
      <c r="D4" s="186" t="s">
        <v>357</v>
      </c>
    </row>
    <row r="5" spans="1:5" x14ac:dyDescent="0.35">
      <c r="D5" s="186" t="s">
        <v>358</v>
      </c>
    </row>
    <row r="6" spans="1:5" x14ac:dyDescent="0.35">
      <c r="A6" s="409" t="s">
        <v>359</v>
      </c>
      <c r="B6" s="409"/>
      <c r="C6" s="409"/>
      <c r="D6" s="409"/>
    </row>
    <row r="7" spans="1:5" s="189" customFormat="1" x14ac:dyDescent="0.35">
      <c r="A7" s="409"/>
      <c r="B7" s="409"/>
      <c r="C7" s="409"/>
      <c r="D7" s="409"/>
    </row>
    <row r="8" spans="1:5" x14ac:dyDescent="0.35">
      <c r="A8" s="409" t="s">
        <v>360</v>
      </c>
      <c r="B8" s="409"/>
      <c r="C8" s="409"/>
      <c r="D8" s="409"/>
      <c r="E8" s="189"/>
    </row>
    <row r="9" spans="1:5" s="189" customFormat="1" x14ac:dyDescent="0.35">
      <c r="A9" s="409" t="s">
        <v>361</v>
      </c>
      <c r="B9" s="409"/>
      <c r="C9" s="409"/>
      <c r="D9" s="409"/>
    </row>
    <row r="10" spans="1:5" x14ac:dyDescent="0.35">
      <c r="A10" s="409" t="s">
        <v>362</v>
      </c>
      <c r="B10" s="409"/>
      <c r="C10" s="409"/>
      <c r="D10" s="409"/>
    </row>
    <row r="12" spans="1:5" x14ac:dyDescent="0.35">
      <c r="A12" s="410" t="s">
        <v>363</v>
      </c>
      <c r="B12" s="410" t="s">
        <v>364</v>
      </c>
      <c r="C12" s="412" t="s">
        <v>365</v>
      </c>
      <c r="D12" s="190" t="s">
        <v>366</v>
      </c>
    </row>
    <row r="13" spans="1:5" x14ac:dyDescent="0.35">
      <c r="A13" s="411"/>
      <c r="B13" s="411"/>
      <c r="C13" s="413"/>
      <c r="D13" s="191" t="s">
        <v>367</v>
      </c>
      <c r="E13" s="186" t="s">
        <v>368</v>
      </c>
    </row>
    <row r="14" spans="1:5" x14ac:dyDescent="0.35">
      <c r="A14" s="192">
        <v>1</v>
      </c>
      <c r="B14" s="192">
        <v>2</v>
      </c>
      <c r="C14" s="192">
        <v>3</v>
      </c>
      <c r="D14" s="192">
        <v>4</v>
      </c>
    </row>
    <row r="15" spans="1:5" x14ac:dyDescent="0.35">
      <c r="A15" s="192">
        <v>1</v>
      </c>
      <c r="B15" s="193" t="s">
        <v>369</v>
      </c>
      <c r="C15" s="193" t="s">
        <v>370</v>
      </c>
      <c r="D15" s="194">
        <v>300000</v>
      </c>
    </row>
    <row r="16" spans="1:5" x14ac:dyDescent="0.35">
      <c r="A16" s="192"/>
      <c r="B16" s="193" t="s">
        <v>371</v>
      </c>
      <c r="C16" s="193" t="s">
        <v>372</v>
      </c>
      <c r="D16" s="194"/>
    </row>
    <row r="17" spans="1:4" x14ac:dyDescent="0.35">
      <c r="A17" s="192">
        <v>2</v>
      </c>
      <c r="B17" s="195" t="s">
        <v>373</v>
      </c>
      <c r="C17" s="193" t="s">
        <v>374</v>
      </c>
      <c r="D17" s="194">
        <v>300000</v>
      </c>
    </row>
    <row r="18" spans="1:4" x14ac:dyDescent="0.35">
      <c r="A18" s="192"/>
      <c r="B18" s="195" t="s">
        <v>256</v>
      </c>
      <c r="C18" s="193" t="s">
        <v>375</v>
      </c>
      <c r="D18" s="192"/>
    </row>
    <row r="19" spans="1:4" x14ac:dyDescent="0.35">
      <c r="A19" s="192"/>
      <c r="B19" s="192"/>
      <c r="C19" s="193" t="s">
        <v>376</v>
      </c>
      <c r="D19" s="192"/>
    </row>
    <row r="20" spans="1:4" x14ac:dyDescent="0.35">
      <c r="A20" s="196">
        <v>3</v>
      </c>
      <c r="B20" s="197" t="s">
        <v>377</v>
      </c>
      <c r="C20" s="197" t="s">
        <v>378</v>
      </c>
      <c r="D20" s="198">
        <v>300000</v>
      </c>
    </row>
    <row r="21" spans="1:4" x14ac:dyDescent="0.35">
      <c r="A21" s="196"/>
      <c r="B21" s="197" t="s">
        <v>256</v>
      </c>
      <c r="C21" s="197" t="s">
        <v>379</v>
      </c>
      <c r="D21" s="198"/>
    </row>
    <row r="22" spans="1:4" x14ac:dyDescent="0.35">
      <c r="A22" s="196"/>
      <c r="B22" s="196"/>
      <c r="C22" s="197"/>
      <c r="D22" s="196"/>
    </row>
    <row r="23" spans="1:4" x14ac:dyDescent="0.35">
      <c r="A23" s="196">
        <v>4</v>
      </c>
      <c r="B23" s="197" t="s">
        <v>380</v>
      </c>
      <c r="C23" s="197" t="s">
        <v>378</v>
      </c>
      <c r="D23" s="198">
        <v>300000</v>
      </c>
    </row>
    <row r="24" spans="1:4" x14ac:dyDescent="0.35">
      <c r="A24" s="196"/>
      <c r="B24" s="197" t="s">
        <v>256</v>
      </c>
      <c r="C24" s="197" t="s">
        <v>379</v>
      </c>
      <c r="D24" s="198"/>
    </row>
    <row r="25" spans="1:4" x14ac:dyDescent="0.35">
      <c r="A25" s="192">
        <v>5</v>
      </c>
      <c r="B25" s="193" t="s">
        <v>381</v>
      </c>
      <c r="C25" s="193" t="s">
        <v>382</v>
      </c>
      <c r="D25" s="194">
        <v>300000</v>
      </c>
    </row>
    <row r="26" spans="1:4" x14ac:dyDescent="0.35">
      <c r="A26" s="192"/>
      <c r="B26" s="193" t="s">
        <v>256</v>
      </c>
      <c r="C26" s="193" t="s">
        <v>383</v>
      </c>
      <c r="D26" s="194" t="s">
        <v>368</v>
      </c>
    </row>
    <row r="27" spans="1:4" x14ac:dyDescent="0.35">
      <c r="A27" s="192">
        <v>6</v>
      </c>
      <c r="B27" s="193" t="s">
        <v>384</v>
      </c>
      <c r="C27" s="193" t="s">
        <v>382</v>
      </c>
      <c r="D27" s="194">
        <v>300000</v>
      </c>
    </row>
    <row r="28" spans="1:4" x14ac:dyDescent="0.35">
      <c r="A28" s="192"/>
      <c r="B28" s="193" t="s">
        <v>256</v>
      </c>
      <c r="C28" s="193" t="s">
        <v>383</v>
      </c>
      <c r="D28" s="194" t="s">
        <v>368</v>
      </c>
    </row>
    <row r="29" spans="1:4" x14ac:dyDescent="0.35">
      <c r="A29" s="192">
        <v>7</v>
      </c>
      <c r="B29" s="193" t="s">
        <v>385</v>
      </c>
      <c r="C29" s="193" t="s">
        <v>386</v>
      </c>
      <c r="D29" s="194">
        <v>300000</v>
      </c>
    </row>
    <row r="30" spans="1:4" x14ac:dyDescent="0.35">
      <c r="A30" s="192"/>
      <c r="B30" s="193" t="s">
        <v>387</v>
      </c>
      <c r="C30" s="193" t="s">
        <v>388</v>
      </c>
      <c r="D30" s="194"/>
    </row>
    <row r="31" spans="1:4" x14ac:dyDescent="0.35">
      <c r="A31" s="192"/>
      <c r="B31" s="193"/>
      <c r="C31" s="193" t="s">
        <v>389</v>
      </c>
      <c r="D31" s="194"/>
    </row>
    <row r="32" spans="1:4" x14ac:dyDescent="0.35">
      <c r="A32" s="192">
        <v>8</v>
      </c>
      <c r="B32" s="193" t="s">
        <v>390</v>
      </c>
      <c r="C32" s="193" t="s">
        <v>391</v>
      </c>
      <c r="D32" s="194">
        <v>300000</v>
      </c>
    </row>
    <row r="33" spans="1:4" x14ac:dyDescent="0.35">
      <c r="A33" s="192"/>
      <c r="B33" s="193" t="s">
        <v>392</v>
      </c>
      <c r="C33" s="193" t="s">
        <v>388</v>
      </c>
      <c r="D33" s="194"/>
    </row>
    <row r="34" spans="1:4" x14ac:dyDescent="0.35">
      <c r="A34" s="192"/>
      <c r="B34" s="193"/>
      <c r="C34" s="193" t="s">
        <v>389</v>
      </c>
      <c r="D34" s="194"/>
    </row>
    <row r="35" spans="1:4" x14ac:dyDescent="0.35">
      <c r="A35" s="192">
        <v>9</v>
      </c>
      <c r="B35" s="193" t="s">
        <v>393</v>
      </c>
      <c r="C35" s="193" t="s">
        <v>394</v>
      </c>
      <c r="D35" s="194">
        <v>300000</v>
      </c>
    </row>
    <row r="36" spans="1:4" x14ac:dyDescent="0.35">
      <c r="A36" s="192"/>
      <c r="B36" s="193" t="s">
        <v>395</v>
      </c>
      <c r="C36" s="193" t="s">
        <v>396</v>
      </c>
      <c r="D36" s="194"/>
    </row>
    <row r="37" spans="1:4" x14ac:dyDescent="0.35">
      <c r="A37" s="192">
        <v>10</v>
      </c>
      <c r="B37" s="193" t="s">
        <v>397</v>
      </c>
      <c r="C37" s="193" t="s">
        <v>398</v>
      </c>
      <c r="D37" s="194">
        <v>300000</v>
      </c>
    </row>
    <row r="38" spans="1:4" x14ac:dyDescent="0.35">
      <c r="A38" s="192"/>
      <c r="B38" s="193" t="s">
        <v>399</v>
      </c>
      <c r="C38" s="193" t="s">
        <v>400</v>
      </c>
      <c r="D38" s="194"/>
    </row>
    <row r="39" spans="1:4" x14ac:dyDescent="0.35">
      <c r="A39" s="192">
        <v>11</v>
      </c>
      <c r="B39" s="193" t="s">
        <v>401</v>
      </c>
      <c r="C39" s="193" t="s">
        <v>402</v>
      </c>
      <c r="D39" s="194">
        <v>300000</v>
      </c>
    </row>
    <row r="40" spans="1:4" x14ac:dyDescent="0.35">
      <c r="A40" s="192"/>
      <c r="B40" s="193" t="s">
        <v>256</v>
      </c>
      <c r="C40" s="193" t="s">
        <v>368</v>
      </c>
      <c r="D40" s="194"/>
    </row>
    <row r="41" spans="1:4" x14ac:dyDescent="0.35">
      <c r="A41" s="192">
        <v>12</v>
      </c>
      <c r="B41" s="193" t="s">
        <v>403</v>
      </c>
      <c r="C41" s="193" t="s">
        <v>404</v>
      </c>
      <c r="D41" s="194">
        <v>300000</v>
      </c>
    </row>
    <row r="42" spans="1:4" x14ac:dyDescent="0.35">
      <c r="A42" s="192"/>
      <c r="B42" s="193" t="s">
        <v>405</v>
      </c>
      <c r="C42" s="193" t="s">
        <v>406</v>
      </c>
      <c r="D42" s="194" t="s">
        <v>368</v>
      </c>
    </row>
    <row r="43" spans="1:4" x14ac:dyDescent="0.35">
      <c r="A43" s="192"/>
      <c r="B43" s="193"/>
      <c r="C43" s="193" t="s">
        <v>407</v>
      </c>
      <c r="D43" s="194"/>
    </row>
    <row r="44" spans="1:4" x14ac:dyDescent="0.35">
      <c r="A44" s="192">
        <v>13</v>
      </c>
      <c r="B44" s="193" t="s">
        <v>408</v>
      </c>
      <c r="C44" s="193" t="s">
        <v>409</v>
      </c>
      <c r="D44" s="194">
        <v>300000</v>
      </c>
    </row>
    <row r="45" spans="1:4" x14ac:dyDescent="0.35">
      <c r="A45" s="192"/>
      <c r="B45" s="193" t="s">
        <v>256</v>
      </c>
      <c r="C45" s="193" t="s">
        <v>410</v>
      </c>
      <c r="D45" s="194"/>
    </row>
    <row r="46" spans="1:4" x14ac:dyDescent="0.35">
      <c r="A46" s="192">
        <v>14</v>
      </c>
      <c r="B46" s="193" t="s">
        <v>411</v>
      </c>
      <c r="C46" s="193" t="s">
        <v>409</v>
      </c>
      <c r="D46" s="194">
        <v>300000</v>
      </c>
    </row>
    <row r="47" spans="1:4" x14ac:dyDescent="0.35">
      <c r="A47" s="192"/>
      <c r="B47" s="193" t="s">
        <v>256</v>
      </c>
      <c r="C47" s="193" t="s">
        <v>410</v>
      </c>
      <c r="D47" s="194"/>
    </row>
    <row r="48" spans="1:4" x14ac:dyDescent="0.35">
      <c r="A48" s="192">
        <v>15</v>
      </c>
      <c r="B48" s="193" t="s">
        <v>412</v>
      </c>
      <c r="C48" s="193" t="s">
        <v>413</v>
      </c>
      <c r="D48" s="194">
        <v>300000</v>
      </c>
    </row>
    <row r="49" spans="1:4" x14ac:dyDescent="0.35">
      <c r="A49" s="192"/>
      <c r="B49" s="193" t="s">
        <v>414</v>
      </c>
      <c r="C49" s="193" t="s">
        <v>415</v>
      </c>
      <c r="D49" s="194"/>
    </row>
    <row r="50" spans="1:4" x14ac:dyDescent="0.35">
      <c r="A50" s="192"/>
      <c r="B50" s="193"/>
      <c r="C50" s="193" t="s">
        <v>416</v>
      </c>
      <c r="D50" s="194"/>
    </row>
    <row r="51" spans="1:4" x14ac:dyDescent="0.35">
      <c r="A51" s="192">
        <v>16</v>
      </c>
      <c r="B51" s="193" t="s">
        <v>417</v>
      </c>
      <c r="C51" s="193" t="s">
        <v>418</v>
      </c>
      <c r="D51" s="194">
        <v>300000</v>
      </c>
    </row>
    <row r="52" spans="1:4" x14ac:dyDescent="0.35">
      <c r="A52" s="191"/>
      <c r="B52" s="193" t="s">
        <v>256</v>
      </c>
      <c r="C52" s="193" t="s">
        <v>419</v>
      </c>
      <c r="D52" s="194"/>
    </row>
    <row r="53" spans="1:4" x14ac:dyDescent="0.35">
      <c r="A53" s="192">
        <v>17</v>
      </c>
      <c r="B53" s="193" t="s">
        <v>420</v>
      </c>
      <c r="C53" s="193" t="s">
        <v>421</v>
      </c>
      <c r="D53" s="194">
        <v>300000</v>
      </c>
    </row>
    <row r="54" spans="1:4" x14ac:dyDescent="0.35">
      <c r="A54" s="192"/>
      <c r="B54" s="193" t="s">
        <v>256</v>
      </c>
      <c r="C54" s="193" t="s">
        <v>422</v>
      </c>
      <c r="D54" s="194"/>
    </row>
    <row r="55" spans="1:4" x14ac:dyDescent="0.35">
      <c r="A55" s="192">
        <v>18</v>
      </c>
      <c r="B55" s="195" t="s">
        <v>423</v>
      </c>
      <c r="C55" s="193" t="s">
        <v>424</v>
      </c>
      <c r="D55" s="194">
        <v>300000</v>
      </c>
    </row>
    <row r="56" spans="1:4" x14ac:dyDescent="0.35">
      <c r="A56" s="192"/>
      <c r="B56" s="193" t="s">
        <v>425</v>
      </c>
      <c r="C56" s="193" t="s">
        <v>368</v>
      </c>
      <c r="D56" s="194"/>
    </row>
    <row r="57" spans="1:4" x14ac:dyDescent="0.35">
      <c r="A57" s="192">
        <v>19</v>
      </c>
      <c r="B57" s="195" t="s">
        <v>426</v>
      </c>
      <c r="C57" s="193" t="s">
        <v>427</v>
      </c>
      <c r="D57" s="194">
        <v>300000</v>
      </c>
    </row>
    <row r="58" spans="1:4" x14ac:dyDescent="0.35">
      <c r="A58" s="192"/>
      <c r="B58" s="193" t="s">
        <v>428</v>
      </c>
      <c r="C58" s="193" t="s">
        <v>368</v>
      </c>
      <c r="D58" s="194"/>
    </row>
    <row r="59" spans="1:4" x14ac:dyDescent="0.35">
      <c r="A59" s="196">
        <v>20</v>
      </c>
      <c r="B59" s="197" t="s">
        <v>429</v>
      </c>
      <c r="C59" s="197" t="s">
        <v>430</v>
      </c>
      <c r="D59" s="198">
        <v>300000</v>
      </c>
    </row>
    <row r="60" spans="1:4" x14ac:dyDescent="0.35">
      <c r="A60" s="196"/>
      <c r="B60" s="197" t="s">
        <v>431</v>
      </c>
      <c r="C60" s="197" t="s">
        <v>432</v>
      </c>
      <c r="D60" s="198" t="s">
        <v>368</v>
      </c>
    </row>
    <row r="61" spans="1:4" ht="15.75" customHeight="1" x14ac:dyDescent="0.35">
      <c r="A61" s="196">
        <v>21</v>
      </c>
      <c r="B61" s="197" t="s">
        <v>433</v>
      </c>
      <c r="C61" s="199" t="s">
        <v>434</v>
      </c>
      <c r="D61" s="198">
        <v>300000</v>
      </c>
    </row>
    <row r="62" spans="1:4" ht="16" customHeight="1" x14ac:dyDescent="0.35">
      <c r="A62" s="196"/>
      <c r="B62" s="197" t="s">
        <v>435</v>
      </c>
      <c r="C62" s="197" t="s">
        <v>368</v>
      </c>
      <c r="D62" s="198"/>
    </row>
    <row r="63" spans="1:4" ht="16" customHeight="1" x14ac:dyDescent="0.35">
      <c r="A63" s="196">
        <v>22</v>
      </c>
      <c r="B63" s="197" t="s">
        <v>436</v>
      </c>
      <c r="C63" s="199" t="s">
        <v>437</v>
      </c>
      <c r="D63" s="198">
        <v>300000</v>
      </c>
    </row>
    <row r="64" spans="1:4" ht="16" customHeight="1" x14ac:dyDescent="0.35">
      <c r="A64" s="196"/>
      <c r="B64" s="197" t="s">
        <v>438</v>
      </c>
      <c r="C64" s="197" t="s">
        <v>368</v>
      </c>
      <c r="D64" s="198" t="s">
        <v>368</v>
      </c>
    </row>
    <row r="65" spans="1:4" ht="16" customHeight="1" x14ac:dyDescent="0.35">
      <c r="A65" s="196">
        <v>23</v>
      </c>
      <c r="B65" s="197" t="s">
        <v>439</v>
      </c>
      <c r="C65" s="199" t="s">
        <v>440</v>
      </c>
      <c r="D65" s="198">
        <v>300000</v>
      </c>
    </row>
    <row r="66" spans="1:4" ht="16" customHeight="1" x14ac:dyDescent="0.35">
      <c r="A66" s="196"/>
      <c r="B66" s="197" t="s">
        <v>256</v>
      </c>
      <c r="C66" s="197" t="s">
        <v>368</v>
      </c>
      <c r="D66" s="198" t="s">
        <v>368</v>
      </c>
    </row>
    <row r="67" spans="1:4" ht="16" customHeight="1" x14ac:dyDescent="0.35">
      <c r="A67" s="192">
        <v>24</v>
      </c>
      <c r="B67" s="193" t="s">
        <v>441</v>
      </c>
      <c r="C67" s="199" t="s">
        <v>442</v>
      </c>
      <c r="D67" s="194">
        <v>300000</v>
      </c>
    </row>
    <row r="68" spans="1:4" ht="16" customHeight="1" x14ac:dyDescent="0.35">
      <c r="A68" s="192"/>
      <c r="B68" s="193" t="s">
        <v>443</v>
      </c>
      <c r="C68" s="193" t="s">
        <v>444</v>
      </c>
      <c r="D68" s="194"/>
    </row>
    <row r="69" spans="1:4" ht="16" customHeight="1" x14ac:dyDescent="0.35">
      <c r="A69" s="192">
        <v>25</v>
      </c>
      <c r="B69" s="193" t="s">
        <v>445</v>
      </c>
      <c r="C69" s="193" t="s">
        <v>446</v>
      </c>
      <c r="D69" s="194">
        <v>300000</v>
      </c>
    </row>
    <row r="70" spans="1:4" ht="16" customHeight="1" x14ac:dyDescent="0.35">
      <c r="A70" s="192"/>
      <c r="B70" s="193" t="s">
        <v>447</v>
      </c>
      <c r="C70" s="193" t="s">
        <v>448</v>
      </c>
      <c r="D70" s="194"/>
    </row>
    <row r="71" spans="1:4" ht="16" customHeight="1" x14ac:dyDescent="0.35">
      <c r="A71" s="192">
        <v>26</v>
      </c>
      <c r="B71" s="193" t="s">
        <v>449</v>
      </c>
      <c r="C71" s="193" t="s">
        <v>450</v>
      </c>
      <c r="D71" s="194">
        <v>300000</v>
      </c>
    </row>
    <row r="72" spans="1:4" ht="16" customHeight="1" x14ac:dyDescent="0.35">
      <c r="A72" s="192"/>
      <c r="B72" s="193" t="s">
        <v>451</v>
      </c>
      <c r="C72" s="193" t="s">
        <v>452</v>
      </c>
      <c r="D72" s="194" t="s">
        <v>368</v>
      </c>
    </row>
    <row r="73" spans="1:4" ht="16" customHeight="1" x14ac:dyDescent="0.35">
      <c r="A73" s="192"/>
      <c r="B73" s="193"/>
      <c r="C73" s="193" t="s">
        <v>453</v>
      </c>
      <c r="D73" s="194"/>
    </row>
    <row r="74" spans="1:4" ht="16" customHeight="1" x14ac:dyDescent="0.35">
      <c r="A74" s="192">
        <v>27</v>
      </c>
      <c r="B74" s="193" t="s">
        <v>454</v>
      </c>
      <c r="C74" s="193" t="s">
        <v>455</v>
      </c>
      <c r="D74" s="194">
        <v>300000</v>
      </c>
    </row>
    <row r="75" spans="1:4" ht="16" customHeight="1" x14ac:dyDescent="0.35">
      <c r="A75" s="192"/>
      <c r="B75" s="193" t="s">
        <v>456</v>
      </c>
      <c r="C75" s="193" t="s">
        <v>457</v>
      </c>
      <c r="D75" s="194"/>
    </row>
    <row r="76" spans="1:4" ht="16" customHeight="1" x14ac:dyDescent="0.35">
      <c r="A76" s="192">
        <v>28</v>
      </c>
      <c r="B76" s="193" t="s">
        <v>458</v>
      </c>
      <c r="C76" s="193" t="s">
        <v>459</v>
      </c>
      <c r="D76" s="194">
        <v>300000</v>
      </c>
    </row>
    <row r="77" spans="1:4" ht="16" customHeight="1" x14ac:dyDescent="0.35">
      <c r="A77" s="192"/>
      <c r="B77" s="193" t="s">
        <v>256</v>
      </c>
      <c r="C77" s="193" t="s">
        <v>457</v>
      </c>
      <c r="D77" s="194"/>
    </row>
    <row r="78" spans="1:4" ht="16" customHeight="1" x14ac:dyDescent="0.35">
      <c r="A78" s="192">
        <v>29</v>
      </c>
      <c r="B78" s="193" t="s">
        <v>460</v>
      </c>
      <c r="C78" s="193" t="s">
        <v>461</v>
      </c>
      <c r="D78" s="194">
        <v>300000</v>
      </c>
    </row>
    <row r="79" spans="1:4" ht="16" customHeight="1" x14ac:dyDescent="0.35">
      <c r="A79" s="192"/>
      <c r="B79" s="193" t="s">
        <v>462</v>
      </c>
      <c r="C79" s="193" t="s">
        <v>463</v>
      </c>
      <c r="D79" s="194" t="s">
        <v>368</v>
      </c>
    </row>
    <row r="80" spans="1:4" ht="16" customHeight="1" x14ac:dyDescent="0.35">
      <c r="A80" s="192">
        <v>30</v>
      </c>
      <c r="B80" s="193" t="s">
        <v>464</v>
      </c>
      <c r="C80" s="193" t="s">
        <v>461</v>
      </c>
      <c r="D80" s="194">
        <v>300000</v>
      </c>
    </row>
    <row r="81" spans="1:4" ht="16" customHeight="1" x14ac:dyDescent="0.35">
      <c r="A81" s="192"/>
      <c r="B81" s="193" t="s">
        <v>465</v>
      </c>
      <c r="C81" s="193" t="s">
        <v>463</v>
      </c>
      <c r="D81" s="194"/>
    </row>
    <row r="82" spans="1:4" ht="16" customHeight="1" x14ac:dyDescent="0.35">
      <c r="A82" s="192">
        <v>31</v>
      </c>
      <c r="B82" s="193" t="s">
        <v>466</v>
      </c>
      <c r="C82" s="193" t="s">
        <v>467</v>
      </c>
      <c r="D82" s="194">
        <v>300000</v>
      </c>
    </row>
    <row r="83" spans="1:4" ht="16" customHeight="1" x14ac:dyDescent="0.35">
      <c r="A83" s="192"/>
      <c r="B83" s="193" t="s">
        <v>256</v>
      </c>
      <c r="C83" s="193" t="s">
        <v>463</v>
      </c>
      <c r="D83" s="194"/>
    </row>
    <row r="84" spans="1:4" ht="16" customHeight="1" x14ac:dyDescent="0.35">
      <c r="A84" s="192">
        <v>32</v>
      </c>
      <c r="B84" s="193" t="s">
        <v>468</v>
      </c>
      <c r="C84" s="193" t="s">
        <v>469</v>
      </c>
      <c r="D84" s="194">
        <v>300000</v>
      </c>
    </row>
    <row r="85" spans="1:4" ht="16" customHeight="1" x14ac:dyDescent="0.35">
      <c r="A85" s="192"/>
      <c r="B85" s="193" t="s">
        <v>470</v>
      </c>
      <c r="C85" s="193" t="s">
        <v>471</v>
      </c>
      <c r="D85" s="194"/>
    </row>
    <row r="86" spans="1:4" ht="16" customHeight="1" x14ac:dyDescent="0.35">
      <c r="A86" s="192"/>
      <c r="B86" s="193"/>
      <c r="C86" s="193" t="s">
        <v>472</v>
      </c>
      <c r="D86" s="194"/>
    </row>
    <row r="87" spans="1:4" ht="16" customHeight="1" x14ac:dyDescent="0.35">
      <c r="A87" s="192">
        <v>33</v>
      </c>
      <c r="B87" s="193" t="s">
        <v>473</v>
      </c>
      <c r="C87" s="193" t="s">
        <v>474</v>
      </c>
      <c r="D87" s="194">
        <v>300000</v>
      </c>
    </row>
    <row r="88" spans="1:4" ht="16" customHeight="1" x14ac:dyDescent="0.35">
      <c r="A88" s="192"/>
      <c r="B88" s="193" t="s">
        <v>256</v>
      </c>
      <c r="C88" s="193" t="s">
        <v>368</v>
      </c>
      <c r="D88" s="194"/>
    </row>
    <row r="89" spans="1:4" ht="16" customHeight="1" x14ac:dyDescent="0.35">
      <c r="A89" s="192">
        <v>34</v>
      </c>
      <c r="B89" s="193" t="s">
        <v>475</v>
      </c>
      <c r="C89" s="193" t="s">
        <v>476</v>
      </c>
      <c r="D89" s="194">
        <v>300000</v>
      </c>
    </row>
    <row r="90" spans="1:4" ht="16" customHeight="1" x14ac:dyDescent="0.35">
      <c r="A90" s="192"/>
      <c r="B90" s="193" t="s">
        <v>477</v>
      </c>
      <c r="C90" s="193" t="s">
        <v>478</v>
      </c>
      <c r="D90" s="194"/>
    </row>
    <row r="91" spans="1:4" ht="16" customHeight="1" x14ac:dyDescent="0.35">
      <c r="A91" s="192">
        <v>35</v>
      </c>
      <c r="B91" s="193" t="s">
        <v>479</v>
      </c>
      <c r="C91" s="193" t="s">
        <v>480</v>
      </c>
      <c r="D91" s="194">
        <v>300000</v>
      </c>
    </row>
    <row r="92" spans="1:4" ht="16" customHeight="1" x14ac:dyDescent="0.35">
      <c r="A92" s="192"/>
      <c r="B92" s="193" t="s">
        <v>256</v>
      </c>
      <c r="C92" s="193" t="s">
        <v>481</v>
      </c>
      <c r="D92" s="194"/>
    </row>
    <row r="93" spans="1:4" ht="16" customHeight="1" x14ac:dyDescent="0.35">
      <c r="A93" s="192">
        <v>36</v>
      </c>
      <c r="B93" s="193" t="s">
        <v>482</v>
      </c>
      <c r="C93" s="193" t="s">
        <v>483</v>
      </c>
      <c r="D93" s="194">
        <v>300000</v>
      </c>
    </row>
    <row r="94" spans="1:4" ht="16" customHeight="1" x14ac:dyDescent="0.35">
      <c r="A94" s="192"/>
      <c r="B94" s="193" t="s">
        <v>484</v>
      </c>
      <c r="C94" s="193" t="s">
        <v>485</v>
      </c>
      <c r="D94" s="194" t="s">
        <v>368</v>
      </c>
    </row>
    <row r="95" spans="1:4" ht="16" customHeight="1" x14ac:dyDescent="0.35">
      <c r="A95" s="192">
        <v>37</v>
      </c>
      <c r="B95" s="193" t="s">
        <v>486</v>
      </c>
      <c r="C95" s="193" t="s">
        <v>487</v>
      </c>
      <c r="D95" s="194">
        <v>300000</v>
      </c>
    </row>
    <row r="96" spans="1:4" ht="16" customHeight="1" x14ac:dyDescent="0.35">
      <c r="A96" s="192"/>
      <c r="B96" s="193" t="s">
        <v>92</v>
      </c>
      <c r="C96" s="193" t="s">
        <v>485</v>
      </c>
      <c r="D96" s="194"/>
    </row>
    <row r="97" spans="1:4" ht="16" customHeight="1" x14ac:dyDescent="0.35">
      <c r="A97" s="192">
        <v>38</v>
      </c>
      <c r="B97" s="193" t="s">
        <v>255</v>
      </c>
      <c r="C97" s="193" t="s">
        <v>488</v>
      </c>
      <c r="D97" s="194">
        <v>300000</v>
      </c>
    </row>
    <row r="98" spans="1:4" ht="16" customHeight="1" x14ac:dyDescent="0.35">
      <c r="A98" s="192"/>
      <c r="B98" s="193" t="s">
        <v>256</v>
      </c>
      <c r="C98" s="193" t="s">
        <v>489</v>
      </c>
      <c r="D98" s="194"/>
    </row>
    <row r="99" spans="1:4" ht="16" customHeight="1" x14ac:dyDescent="0.35">
      <c r="A99" s="192">
        <v>39</v>
      </c>
      <c r="B99" s="193" t="s">
        <v>490</v>
      </c>
      <c r="C99" s="193" t="s">
        <v>491</v>
      </c>
      <c r="D99" s="194">
        <v>300000</v>
      </c>
    </row>
    <row r="100" spans="1:4" ht="16" customHeight="1" x14ac:dyDescent="0.35">
      <c r="A100" s="192"/>
      <c r="B100" s="193" t="s">
        <v>492</v>
      </c>
      <c r="C100" s="193" t="s">
        <v>493</v>
      </c>
      <c r="D100" s="194" t="s">
        <v>368</v>
      </c>
    </row>
    <row r="101" spans="1:4" ht="16" customHeight="1" x14ac:dyDescent="0.35">
      <c r="A101" s="192"/>
      <c r="B101" s="193"/>
      <c r="C101" s="193" t="s">
        <v>494</v>
      </c>
      <c r="D101" s="194"/>
    </row>
    <row r="102" spans="1:4" ht="16" customHeight="1" x14ac:dyDescent="0.35">
      <c r="A102" s="192">
        <v>40</v>
      </c>
      <c r="B102" s="193" t="s">
        <v>495</v>
      </c>
      <c r="C102" s="193" t="s">
        <v>496</v>
      </c>
      <c r="D102" s="194">
        <v>300000</v>
      </c>
    </row>
    <row r="103" spans="1:4" ht="16" customHeight="1" x14ac:dyDescent="0.35">
      <c r="A103" s="192"/>
      <c r="B103" s="193" t="s">
        <v>392</v>
      </c>
      <c r="C103" s="193" t="s">
        <v>497</v>
      </c>
      <c r="D103" s="194"/>
    </row>
    <row r="104" spans="1:4" ht="16" customHeight="1" x14ac:dyDescent="0.35">
      <c r="A104" s="192">
        <v>41</v>
      </c>
      <c r="B104" s="193" t="s">
        <v>498</v>
      </c>
      <c r="C104" s="193" t="s">
        <v>499</v>
      </c>
      <c r="D104" s="194">
        <v>300000</v>
      </c>
    </row>
    <row r="105" spans="1:4" ht="16" customHeight="1" x14ac:dyDescent="0.35">
      <c r="A105" s="192"/>
      <c r="B105" s="193" t="s">
        <v>500</v>
      </c>
      <c r="C105" s="193" t="s">
        <v>501</v>
      </c>
      <c r="D105" s="194"/>
    </row>
    <row r="106" spans="1:4" ht="16" customHeight="1" x14ac:dyDescent="0.35">
      <c r="A106" s="196">
        <v>42</v>
      </c>
      <c r="B106" s="197" t="s">
        <v>502</v>
      </c>
      <c r="C106" s="197" t="s">
        <v>503</v>
      </c>
      <c r="D106" s="198">
        <v>300000</v>
      </c>
    </row>
    <row r="107" spans="1:4" ht="16" customHeight="1" x14ac:dyDescent="0.35">
      <c r="A107" s="196"/>
      <c r="B107" s="197" t="s">
        <v>256</v>
      </c>
      <c r="C107" s="197" t="s">
        <v>504</v>
      </c>
      <c r="D107" s="198"/>
    </row>
    <row r="108" spans="1:4" ht="16" customHeight="1" x14ac:dyDescent="0.35">
      <c r="A108" s="196">
        <v>43</v>
      </c>
      <c r="B108" s="197" t="s">
        <v>505</v>
      </c>
      <c r="C108" s="197" t="s">
        <v>506</v>
      </c>
      <c r="D108" s="198">
        <v>300000</v>
      </c>
    </row>
    <row r="109" spans="1:4" ht="16" customHeight="1" x14ac:dyDescent="0.35">
      <c r="A109" s="196"/>
      <c r="B109" s="197" t="s">
        <v>256</v>
      </c>
      <c r="C109" s="197" t="s">
        <v>504</v>
      </c>
      <c r="D109" s="198" t="s">
        <v>368</v>
      </c>
    </row>
    <row r="110" spans="1:4" ht="16" customHeight="1" x14ac:dyDescent="0.35">
      <c r="A110" s="196">
        <v>44</v>
      </c>
      <c r="B110" s="197" t="s">
        <v>507</v>
      </c>
      <c r="C110" s="197" t="s">
        <v>506</v>
      </c>
      <c r="D110" s="198">
        <v>300000</v>
      </c>
    </row>
    <row r="111" spans="1:4" ht="16" customHeight="1" x14ac:dyDescent="0.35">
      <c r="A111" s="196"/>
      <c r="B111" s="197" t="s">
        <v>256</v>
      </c>
      <c r="C111" s="197" t="s">
        <v>504</v>
      </c>
      <c r="D111" s="198" t="s">
        <v>368</v>
      </c>
    </row>
    <row r="112" spans="1:4" ht="16" customHeight="1" x14ac:dyDescent="0.35">
      <c r="A112" s="192">
        <v>45</v>
      </c>
      <c r="B112" s="193" t="s">
        <v>508</v>
      </c>
      <c r="C112" s="193" t="s">
        <v>509</v>
      </c>
      <c r="D112" s="194">
        <v>300000</v>
      </c>
    </row>
    <row r="113" spans="1:4" ht="16" customHeight="1" x14ac:dyDescent="0.35">
      <c r="A113" s="192"/>
      <c r="B113" s="193" t="s">
        <v>510</v>
      </c>
      <c r="C113" s="193" t="s">
        <v>511</v>
      </c>
      <c r="D113" s="194"/>
    </row>
    <row r="114" spans="1:4" ht="16" customHeight="1" x14ac:dyDescent="0.35">
      <c r="A114" s="192">
        <v>46</v>
      </c>
      <c r="B114" s="193" t="s">
        <v>512</v>
      </c>
      <c r="C114" s="193" t="s">
        <v>513</v>
      </c>
      <c r="D114" s="194">
        <v>300000</v>
      </c>
    </row>
    <row r="115" spans="1:4" ht="16" customHeight="1" x14ac:dyDescent="0.35">
      <c r="A115" s="192"/>
      <c r="B115" s="193" t="s">
        <v>256</v>
      </c>
      <c r="C115" s="193" t="s">
        <v>514</v>
      </c>
      <c r="D115" s="194"/>
    </row>
    <row r="116" spans="1:4" ht="16" customHeight="1" x14ac:dyDescent="0.35">
      <c r="A116" s="196">
        <v>47</v>
      </c>
      <c r="B116" s="197" t="s">
        <v>515</v>
      </c>
      <c r="C116" s="197" t="s">
        <v>516</v>
      </c>
      <c r="D116" s="198">
        <v>300000</v>
      </c>
    </row>
    <row r="117" spans="1:4" ht="16" customHeight="1" x14ac:dyDescent="0.35">
      <c r="A117" s="196"/>
      <c r="B117" s="197" t="s">
        <v>517</v>
      </c>
      <c r="C117" s="197" t="s">
        <v>518</v>
      </c>
      <c r="D117" s="198"/>
    </row>
    <row r="118" spans="1:4" ht="16" customHeight="1" x14ac:dyDescent="0.35">
      <c r="A118" s="196"/>
      <c r="B118" s="197"/>
      <c r="C118" s="197" t="s">
        <v>519</v>
      </c>
      <c r="D118" s="198"/>
    </row>
    <row r="119" spans="1:4" ht="16" customHeight="1" x14ac:dyDescent="0.35">
      <c r="A119" s="196">
        <v>48</v>
      </c>
      <c r="B119" s="197" t="s">
        <v>520</v>
      </c>
      <c r="C119" s="197" t="s">
        <v>521</v>
      </c>
      <c r="D119" s="198">
        <v>300000</v>
      </c>
    </row>
    <row r="120" spans="1:4" ht="16" customHeight="1" x14ac:dyDescent="0.35">
      <c r="A120" s="196"/>
      <c r="B120" s="197" t="s">
        <v>522</v>
      </c>
      <c r="C120" s="197" t="s">
        <v>519</v>
      </c>
      <c r="D120" s="198" t="s">
        <v>368</v>
      </c>
    </row>
    <row r="121" spans="1:4" ht="16" customHeight="1" x14ac:dyDescent="0.35">
      <c r="A121" s="196">
        <v>49</v>
      </c>
      <c r="B121" s="197" t="s">
        <v>523</v>
      </c>
      <c r="C121" s="197" t="s">
        <v>524</v>
      </c>
      <c r="D121" s="198">
        <v>300000</v>
      </c>
    </row>
    <row r="122" spans="1:4" ht="16" customHeight="1" x14ac:dyDescent="0.35">
      <c r="A122" s="196"/>
      <c r="B122" s="197" t="s">
        <v>256</v>
      </c>
      <c r="C122" s="197" t="s">
        <v>519</v>
      </c>
      <c r="D122" s="198" t="s">
        <v>368</v>
      </c>
    </row>
    <row r="123" spans="1:4" ht="16" customHeight="1" x14ac:dyDescent="0.35">
      <c r="A123" s="192">
        <v>50</v>
      </c>
      <c r="B123" s="193" t="s">
        <v>525</v>
      </c>
      <c r="C123" s="200" t="s">
        <v>526</v>
      </c>
      <c r="D123" s="194">
        <v>300000</v>
      </c>
    </row>
    <row r="124" spans="1:4" ht="16" customHeight="1" x14ac:dyDescent="0.35">
      <c r="A124" s="192"/>
      <c r="B124" s="201" t="s">
        <v>527</v>
      </c>
      <c r="C124" s="202" t="s">
        <v>528</v>
      </c>
      <c r="D124" s="194"/>
    </row>
    <row r="125" spans="1:4" ht="16" customHeight="1" x14ac:dyDescent="0.35">
      <c r="A125" s="192">
        <v>51</v>
      </c>
      <c r="B125" s="193" t="s">
        <v>529</v>
      </c>
      <c r="C125" s="200" t="s">
        <v>530</v>
      </c>
      <c r="D125" s="194">
        <v>300000</v>
      </c>
    </row>
    <row r="126" spans="1:4" ht="16" customHeight="1" x14ac:dyDescent="0.35">
      <c r="A126" s="192"/>
      <c r="B126" s="201" t="s">
        <v>531</v>
      </c>
      <c r="C126" s="202" t="s">
        <v>532</v>
      </c>
      <c r="D126" s="194"/>
    </row>
    <row r="127" spans="1:4" ht="16" customHeight="1" x14ac:dyDescent="0.35">
      <c r="A127" s="192">
        <v>52</v>
      </c>
      <c r="B127" s="193" t="s">
        <v>533</v>
      </c>
      <c r="C127" s="186" t="s">
        <v>534</v>
      </c>
      <c r="D127" s="194">
        <v>300000</v>
      </c>
    </row>
    <row r="128" spans="1:4" ht="16" customHeight="1" x14ac:dyDescent="0.35">
      <c r="A128" s="192"/>
      <c r="B128" s="193" t="s">
        <v>535</v>
      </c>
      <c r="C128" s="193" t="s">
        <v>536</v>
      </c>
      <c r="D128" s="194" t="s">
        <v>368</v>
      </c>
    </row>
    <row r="129" spans="1:4" ht="16" customHeight="1" x14ac:dyDescent="0.35">
      <c r="A129" s="192"/>
      <c r="B129" s="201"/>
      <c r="C129" s="203" t="s">
        <v>537</v>
      </c>
      <c r="D129" s="194"/>
    </row>
    <row r="130" spans="1:4" ht="16" customHeight="1" x14ac:dyDescent="0.35">
      <c r="A130" s="192">
        <v>53</v>
      </c>
      <c r="B130" s="193" t="s">
        <v>538</v>
      </c>
      <c r="C130" s="193" t="s">
        <v>539</v>
      </c>
      <c r="D130" s="194">
        <v>300000</v>
      </c>
    </row>
    <row r="131" spans="1:4" ht="16" customHeight="1" x14ac:dyDescent="0.35">
      <c r="A131" s="192"/>
      <c r="B131" s="193" t="s">
        <v>540</v>
      </c>
      <c r="C131" s="203" t="s">
        <v>541</v>
      </c>
      <c r="D131" s="194" t="s">
        <v>368</v>
      </c>
    </row>
    <row r="132" spans="1:4" ht="16" customHeight="1" x14ac:dyDescent="0.35">
      <c r="A132" s="192">
        <v>54</v>
      </c>
      <c r="B132" s="193" t="s">
        <v>542</v>
      </c>
      <c r="C132" s="193" t="s">
        <v>543</v>
      </c>
      <c r="D132" s="194">
        <v>300000</v>
      </c>
    </row>
    <row r="133" spans="1:4" ht="16" customHeight="1" x14ac:dyDescent="0.35">
      <c r="A133" s="192"/>
      <c r="B133" s="193" t="s">
        <v>256</v>
      </c>
      <c r="C133" s="193" t="s">
        <v>544</v>
      </c>
      <c r="D133" s="194"/>
    </row>
    <row r="134" spans="1:4" ht="16" customHeight="1" x14ac:dyDescent="0.35">
      <c r="A134" s="192"/>
      <c r="B134" s="193"/>
      <c r="C134" s="193" t="s">
        <v>545</v>
      </c>
      <c r="D134" s="194"/>
    </row>
    <row r="135" spans="1:4" ht="16" customHeight="1" x14ac:dyDescent="0.35">
      <c r="A135" s="192">
        <v>55</v>
      </c>
      <c r="B135" s="193" t="s">
        <v>546</v>
      </c>
      <c r="C135" s="193" t="s">
        <v>547</v>
      </c>
      <c r="D135" s="194">
        <v>300000</v>
      </c>
    </row>
    <row r="136" spans="1:4" ht="16" customHeight="1" x14ac:dyDescent="0.35">
      <c r="A136" s="192"/>
      <c r="B136" s="193" t="s">
        <v>392</v>
      </c>
      <c r="C136" s="204" t="s">
        <v>548</v>
      </c>
      <c r="D136" s="194" t="s">
        <v>368</v>
      </c>
    </row>
    <row r="137" spans="1:4" ht="16" customHeight="1" x14ac:dyDescent="0.35">
      <c r="A137" s="192">
        <v>56</v>
      </c>
      <c r="B137" s="193" t="s">
        <v>549</v>
      </c>
      <c r="C137" s="193" t="s">
        <v>550</v>
      </c>
      <c r="D137" s="194">
        <v>300000</v>
      </c>
    </row>
    <row r="138" spans="1:4" ht="16" customHeight="1" x14ac:dyDescent="0.35">
      <c r="A138" s="192"/>
      <c r="B138" s="193" t="s">
        <v>392</v>
      </c>
      <c r="C138" s="204" t="s">
        <v>548</v>
      </c>
      <c r="D138" s="194"/>
    </row>
    <row r="139" spans="1:4" ht="16" customHeight="1" x14ac:dyDescent="0.35">
      <c r="A139" s="192">
        <v>57</v>
      </c>
      <c r="B139" s="193" t="s">
        <v>551</v>
      </c>
      <c r="C139" s="193" t="s">
        <v>552</v>
      </c>
      <c r="D139" s="194">
        <v>300000</v>
      </c>
    </row>
    <row r="140" spans="1:4" ht="16" customHeight="1" x14ac:dyDescent="0.35">
      <c r="A140" s="192"/>
      <c r="B140" s="195" t="s">
        <v>256</v>
      </c>
      <c r="C140" s="193" t="s">
        <v>368</v>
      </c>
      <c r="D140" s="193"/>
    </row>
    <row r="141" spans="1:4" ht="16" customHeight="1" x14ac:dyDescent="0.35">
      <c r="A141" s="192">
        <v>58</v>
      </c>
      <c r="B141" s="193" t="s">
        <v>553</v>
      </c>
      <c r="C141" s="193" t="s">
        <v>554</v>
      </c>
      <c r="D141" s="194">
        <v>300000</v>
      </c>
    </row>
    <row r="142" spans="1:4" ht="16" customHeight="1" x14ac:dyDescent="0.35">
      <c r="A142" s="192"/>
      <c r="B142" s="193" t="s">
        <v>555</v>
      </c>
      <c r="C142" s="193" t="s">
        <v>368</v>
      </c>
      <c r="D142" s="194" t="s">
        <v>368</v>
      </c>
    </row>
    <row r="143" spans="1:4" ht="16" customHeight="1" x14ac:dyDescent="0.35">
      <c r="A143" s="192">
        <v>59</v>
      </c>
      <c r="B143" s="193" t="s">
        <v>556</v>
      </c>
      <c r="C143" s="193" t="s">
        <v>554</v>
      </c>
      <c r="D143" s="194">
        <v>300000</v>
      </c>
    </row>
    <row r="144" spans="1:4" ht="16" customHeight="1" x14ac:dyDescent="0.35">
      <c r="A144" s="192"/>
      <c r="B144" s="193" t="s">
        <v>557</v>
      </c>
      <c r="C144" s="193" t="s">
        <v>368</v>
      </c>
      <c r="D144" s="194"/>
    </row>
    <row r="145" spans="1:42" s="205" customFormat="1" ht="16" customHeight="1" x14ac:dyDescent="0.35">
      <c r="A145" s="192">
        <v>60</v>
      </c>
      <c r="B145" s="193" t="s">
        <v>558</v>
      </c>
      <c r="C145" s="193" t="s">
        <v>559</v>
      </c>
      <c r="D145" s="194">
        <v>300000</v>
      </c>
      <c r="E145" s="186"/>
      <c r="F145" s="186"/>
      <c r="G145" s="186"/>
      <c r="H145" s="186"/>
      <c r="I145" s="186"/>
      <c r="J145" s="186"/>
      <c r="K145" s="186"/>
      <c r="L145" s="186"/>
      <c r="M145" s="186"/>
      <c r="N145" s="186"/>
      <c r="O145" s="186"/>
      <c r="P145" s="186"/>
      <c r="Q145" s="186"/>
      <c r="R145" s="186"/>
      <c r="S145" s="186"/>
      <c r="T145" s="186"/>
      <c r="U145" s="186"/>
      <c r="V145" s="186"/>
      <c r="W145" s="186"/>
      <c r="X145" s="186"/>
      <c r="Y145" s="186"/>
      <c r="Z145" s="186"/>
      <c r="AA145" s="186"/>
      <c r="AB145" s="186"/>
      <c r="AC145" s="186"/>
      <c r="AD145" s="186"/>
      <c r="AE145" s="186"/>
      <c r="AF145" s="186"/>
      <c r="AG145" s="186"/>
      <c r="AH145" s="186"/>
      <c r="AI145" s="186"/>
      <c r="AJ145" s="186"/>
      <c r="AK145" s="186"/>
      <c r="AL145" s="186"/>
      <c r="AM145" s="186"/>
      <c r="AN145" s="186"/>
      <c r="AO145" s="186"/>
      <c r="AP145" s="186"/>
    </row>
    <row r="146" spans="1:42" s="205" customFormat="1" ht="16" customHeight="1" x14ac:dyDescent="0.35">
      <c r="A146" s="192"/>
      <c r="B146" s="197" t="s">
        <v>560</v>
      </c>
      <c r="C146" s="193" t="s">
        <v>561</v>
      </c>
      <c r="D146" s="194" t="s">
        <v>368</v>
      </c>
      <c r="E146" s="186"/>
      <c r="F146" s="186"/>
      <c r="G146" s="186"/>
      <c r="H146" s="186"/>
      <c r="I146" s="186"/>
      <c r="J146" s="186"/>
      <c r="K146" s="186"/>
      <c r="L146" s="186"/>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row>
    <row r="147" spans="1:42" s="205" customFormat="1" ht="16" customHeight="1" x14ac:dyDescent="0.35">
      <c r="A147" s="192">
        <v>61</v>
      </c>
      <c r="B147" s="193" t="s">
        <v>562</v>
      </c>
      <c r="C147" s="193" t="s">
        <v>563</v>
      </c>
      <c r="D147" s="194">
        <v>300000</v>
      </c>
      <c r="E147" s="186"/>
      <c r="F147" s="186"/>
      <c r="G147" s="186"/>
      <c r="H147" s="186"/>
      <c r="I147" s="186"/>
      <c r="J147" s="186"/>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c r="AK147" s="186"/>
      <c r="AL147" s="186"/>
      <c r="AM147" s="186"/>
      <c r="AN147" s="186"/>
      <c r="AO147" s="186"/>
      <c r="AP147" s="186"/>
    </row>
    <row r="148" spans="1:42" s="205" customFormat="1" ht="16" customHeight="1" x14ac:dyDescent="0.35">
      <c r="A148" s="192"/>
      <c r="B148" s="193" t="s">
        <v>564</v>
      </c>
      <c r="C148" s="193" t="s">
        <v>561</v>
      </c>
      <c r="D148" s="194"/>
      <c r="E148" s="186"/>
      <c r="F148" s="186"/>
      <c r="G148" s="186"/>
      <c r="H148" s="186"/>
      <c r="I148" s="186"/>
      <c r="J148" s="186"/>
      <c r="K148" s="186"/>
      <c r="L148" s="186"/>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6"/>
      <c r="AJ148" s="186"/>
      <c r="AK148" s="186"/>
      <c r="AL148" s="186"/>
      <c r="AM148" s="186"/>
      <c r="AN148" s="186"/>
      <c r="AO148" s="186"/>
      <c r="AP148" s="186"/>
    </row>
    <row r="149" spans="1:42" ht="15" customHeight="1" x14ac:dyDescent="0.35">
      <c r="A149" s="192">
        <v>62</v>
      </c>
      <c r="B149" s="193" t="s">
        <v>565</v>
      </c>
      <c r="C149" s="193" t="s">
        <v>566</v>
      </c>
      <c r="D149" s="194">
        <v>300000</v>
      </c>
      <c r="F149" s="405"/>
      <c r="G149" s="405"/>
      <c r="H149" s="405"/>
    </row>
    <row r="150" spans="1:42" ht="15" customHeight="1" x14ac:dyDescent="0.35">
      <c r="A150" s="192"/>
      <c r="B150" s="193" t="s">
        <v>256</v>
      </c>
      <c r="C150" s="193" t="s">
        <v>561</v>
      </c>
      <c r="D150" s="194"/>
      <c r="F150" s="206"/>
      <c r="G150" s="206"/>
      <c r="H150" s="206"/>
    </row>
    <row r="151" spans="1:42" ht="15" customHeight="1" x14ac:dyDescent="0.35">
      <c r="A151" s="196">
        <v>63</v>
      </c>
      <c r="B151" s="197" t="s">
        <v>567</v>
      </c>
      <c r="C151" s="197" t="s">
        <v>568</v>
      </c>
      <c r="D151" s="198">
        <v>300000</v>
      </c>
    </row>
    <row r="152" spans="1:42" ht="15" customHeight="1" x14ac:dyDescent="0.35">
      <c r="A152" s="196"/>
      <c r="B152" s="197" t="s">
        <v>569</v>
      </c>
      <c r="C152" s="197" t="s">
        <v>570</v>
      </c>
      <c r="D152" s="198"/>
    </row>
    <row r="153" spans="1:42" ht="15" customHeight="1" x14ac:dyDescent="0.35">
      <c r="A153" s="196">
        <v>64</v>
      </c>
      <c r="B153" s="197" t="s">
        <v>571</v>
      </c>
      <c r="C153" s="197" t="s">
        <v>572</v>
      </c>
      <c r="D153" s="198">
        <v>300000</v>
      </c>
    </row>
    <row r="154" spans="1:42" ht="15" customHeight="1" x14ac:dyDescent="0.35">
      <c r="A154" s="196"/>
      <c r="B154" s="197" t="s">
        <v>256</v>
      </c>
      <c r="C154" s="197" t="s">
        <v>570</v>
      </c>
      <c r="D154" s="198"/>
    </row>
    <row r="155" spans="1:42" ht="15" customHeight="1" x14ac:dyDescent="0.35">
      <c r="A155" s="196">
        <v>65</v>
      </c>
      <c r="B155" s="197" t="s">
        <v>573</v>
      </c>
      <c r="C155" s="197" t="s">
        <v>572</v>
      </c>
      <c r="D155" s="198">
        <v>300000</v>
      </c>
    </row>
    <row r="156" spans="1:42" ht="15" customHeight="1" x14ac:dyDescent="0.35">
      <c r="A156" s="196"/>
      <c r="B156" s="197" t="s">
        <v>256</v>
      </c>
      <c r="C156" s="197" t="s">
        <v>570</v>
      </c>
      <c r="D156" s="198"/>
    </row>
    <row r="157" spans="1:42" ht="16" customHeight="1" x14ac:dyDescent="0.35">
      <c r="A157" s="192">
        <v>66</v>
      </c>
      <c r="B157" s="193" t="s">
        <v>574</v>
      </c>
      <c r="C157" s="193" t="s">
        <v>575</v>
      </c>
      <c r="D157" s="194">
        <v>300000</v>
      </c>
    </row>
    <row r="158" spans="1:42" ht="16" customHeight="1" x14ac:dyDescent="0.35">
      <c r="A158" s="192"/>
      <c r="B158" s="207" t="s">
        <v>576</v>
      </c>
      <c r="C158" s="193" t="s">
        <v>577</v>
      </c>
      <c r="D158" s="194"/>
    </row>
    <row r="159" spans="1:42" ht="15" customHeight="1" x14ac:dyDescent="0.35">
      <c r="A159" s="192"/>
      <c r="B159" s="193"/>
      <c r="C159" s="193" t="s">
        <v>368</v>
      </c>
      <c r="D159" s="194"/>
    </row>
    <row r="160" spans="1:42" ht="16" customHeight="1" x14ac:dyDescent="0.35">
      <c r="A160" s="192">
        <v>67</v>
      </c>
      <c r="B160" s="193" t="s">
        <v>578</v>
      </c>
      <c r="C160" s="193" t="s">
        <v>575</v>
      </c>
      <c r="D160" s="194">
        <v>300000</v>
      </c>
    </row>
    <row r="161" spans="1:6" ht="16" customHeight="1" x14ac:dyDescent="0.35">
      <c r="A161" s="192"/>
      <c r="B161" s="193" t="s">
        <v>256</v>
      </c>
      <c r="C161" s="193" t="s">
        <v>577</v>
      </c>
      <c r="D161" s="194" t="s">
        <v>368</v>
      </c>
    </row>
    <row r="162" spans="1:6" ht="16" customHeight="1" x14ac:dyDescent="0.35">
      <c r="A162" s="196">
        <v>68</v>
      </c>
      <c r="B162" s="197" t="s">
        <v>579</v>
      </c>
      <c r="C162" s="197" t="s">
        <v>580</v>
      </c>
      <c r="D162" s="198">
        <v>300000</v>
      </c>
    </row>
    <row r="163" spans="1:6" ht="16" customHeight="1" x14ac:dyDescent="0.35">
      <c r="A163" s="196"/>
      <c r="B163" s="208" t="s">
        <v>581</v>
      </c>
      <c r="C163" s="197" t="s">
        <v>582</v>
      </c>
      <c r="D163" s="198" t="s">
        <v>368</v>
      </c>
    </row>
    <row r="164" spans="1:6" ht="16" customHeight="1" x14ac:dyDescent="0.35">
      <c r="A164" s="196"/>
      <c r="B164" s="197"/>
      <c r="C164" s="197" t="s">
        <v>583</v>
      </c>
      <c r="D164" s="198"/>
    </row>
    <row r="165" spans="1:6" ht="16" customHeight="1" x14ac:dyDescent="0.35">
      <c r="A165" s="196">
        <v>69</v>
      </c>
      <c r="B165" s="197" t="s">
        <v>584</v>
      </c>
      <c r="C165" s="197" t="s">
        <v>585</v>
      </c>
      <c r="D165" s="198">
        <v>300000</v>
      </c>
    </row>
    <row r="166" spans="1:6" ht="16" customHeight="1" x14ac:dyDescent="0.35">
      <c r="A166" s="196"/>
      <c r="B166" s="208" t="s">
        <v>256</v>
      </c>
      <c r="C166" s="197" t="s">
        <v>583</v>
      </c>
      <c r="D166" s="198"/>
    </row>
    <row r="167" spans="1:6" ht="16" customHeight="1" x14ac:dyDescent="0.35">
      <c r="A167" s="196">
        <v>70</v>
      </c>
      <c r="B167" s="197" t="s">
        <v>586</v>
      </c>
      <c r="C167" s="197" t="s">
        <v>585</v>
      </c>
      <c r="D167" s="198">
        <v>300000</v>
      </c>
    </row>
    <row r="168" spans="1:6" ht="16" customHeight="1" x14ac:dyDescent="0.35">
      <c r="A168" s="196"/>
      <c r="B168" s="208" t="s">
        <v>256</v>
      </c>
      <c r="C168" s="197" t="s">
        <v>583</v>
      </c>
      <c r="D168" s="198"/>
    </row>
    <row r="169" spans="1:6" ht="25.5" customHeight="1" x14ac:dyDescent="0.35">
      <c r="A169" s="192"/>
      <c r="B169" s="193"/>
      <c r="C169" s="209" t="s">
        <v>11</v>
      </c>
      <c r="D169" s="210">
        <f>SUM(D61:D168)</f>
        <v>15000000</v>
      </c>
    </row>
    <row r="170" spans="1:6" x14ac:dyDescent="0.35">
      <c r="D170" s="186" t="s">
        <v>368</v>
      </c>
    </row>
    <row r="171" spans="1:6" x14ac:dyDescent="0.35">
      <c r="C171" s="406" t="s">
        <v>587</v>
      </c>
      <c r="D171" s="406"/>
    </row>
    <row r="172" spans="1:6" x14ac:dyDescent="0.35">
      <c r="C172" s="406" t="s">
        <v>588</v>
      </c>
      <c r="D172" s="406"/>
      <c r="E172" s="211"/>
    </row>
    <row r="173" spans="1:6" x14ac:dyDescent="0.35">
      <c r="C173" s="406" t="s">
        <v>589</v>
      </c>
      <c r="D173" s="406"/>
      <c r="E173" s="211"/>
    </row>
    <row r="174" spans="1:6" x14ac:dyDescent="0.35">
      <c r="C174" s="407" t="s">
        <v>590</v>
      </c>
      <c r="D174" s="407"/>
      <c r="E174" s="212"/>
      <c r="F174" s="213"/>
    </row>
    <row r="175" spans="1:6" x14ac:dyDescent="0.35">
      <c r="C175" s="214"/>
      <c r="D175" s="214"/>
      <c r="E175" s="214"/>
    </row>
    <row r="176" spans="1:6" x14ac:dyDescent="0.35">
      <c r="C176" s="214"/>
      <c r="D176" s="214"/>
      <c r="E176" s="214"/>
    </row>
    <row r="177" spans="3:5" x14ac:dyDescent="0.35">
      <c r="C177" s="211"/>
      <c r="D177" s="211"/>
      <c r="E177" s="211"/>
    </row>
    <row r="178" spans="3:5" x14ac:dyDescent="0.35">
      <c r="C178" s="211"/>
      <c r="D178" s="211"/>
      <c r="E178" s="211"/>
    </row>
    <row r="179" spans="3:5" x14ac:dyDescent="0.35">
      <c r="C179" s="408" t="s">
        <v>591</v>
      </c>
      <c r="D179" s="408"/>
      <c r="E179" s="215"/>
    </row>
  </sheetData>
  <mergeCells count="13">
    <mergeCell ref="C179:D179"/>
    <mergeCell ref="A6:D7"/>
    <mergeCell ref="A8:D8"/>
    <mergeCell ref="A9:D9"/>
    <mergeCell ref="A10:D10"/>
    <mergeCell ref="A12:A13"/>
    <mergeCell ref="B12:B13"/>
    <mergeCell ref="C12:C13"/>
    <mergeCell ref="F149:H149"/>
    <mergeCell ref="C171:D171"/>
    <mergeCell ref="C172:D172"/>
    <mergeCell ref="C173:D173"/>
    <mergeCell ref="C174:D17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T116"/>
  <sheetViews>
    <sheetView view="pageBreakPreview" topLeftCell="A4" zoomScale="96" zoomScaleNormal="100" zoomScaleSheetLayoutView="96" workbookViewId="0">
      <selection activeCell="O21" sqref="O21"/>
    </sheetView>
  </sheetViews>
  <sheetFormatPr defaultColWidth="9.1796875" defaultRowHeight="14" x14ac:dyDescent="0.3"/>
  <cols>
    <col min="1" max="1" width="5.26953125" style="1" customWidth="1"/>
    <col min="2" max="2" width="2.1796875" style="1" customWidth="1"/>
    <col min="3" max="3" width="17.1796875" style="1" customWidth="1"/>
    <col min="4" max="4" width="9.1796875" style="1" customWidth="1"/>
    <col min="5" max="5" width="26.81640625" style="1" customWidth="1"/>
    <col min="6" max="6" width="10" style="1" bestFit="1" customWidth="1"/>
    <col min="7" max="7" width="8.81640625" style="1" customWidth="1"/>
    <col min="8" max="8" width="9" style="1" customWidth="1"/>
    <col min="9" max="9" width="6.7265625" style="1" customWidth="1"/>
    <col min="10" max="10" width="7" style="1" customWidth="1"/>
    <col min="11" max="12" width="7.54296875" style="1" customWidth="1"/>
    <col min="13" max="13" width="6.81640625" style="1" bestFit="1" customWidth="1"/>
    <col min="14" max="14" width="2.1796875" style="1" customWidth="1"/>
    <col min="15" max="15" width="20.1796875" style="1" customWidth="1"/>
    <col min="16" max="16" width="14.453125" style="1" customWidth="1"/>
    <col min="17" max="17" width="8.81640625" style="1" customWidth="1"/>
    <col min="18" max="16384" width="9.1796875" style="1"/>
  </cols>
  <sheetData>
    <row r="1" spans="1:20" x14ac:dyDescent="0.3">
      <c r="A1" s="385" t="s">
        <v>260</v>
      </c>
      <c r="B1" s="385"/>
      <c r="C1" s="385"/>
      <c r="D1" s="385"/>
      <c r="E1" s="385"/>
      <c r="F1" s="385"/>
      <c r="G1" s="385"/>
      <c r="H1" s="385"/>
      <c r="I1" s="385"/>
      <c r="J1" s="385"/>
      <c r="K1" s="385"/>
      <c r="L1" s="385"/>
      <c r="M1" s="385"/>
      <c r="N1" s="385"/>
      <c r="O1" s="385"/>
      <c r="P1" s="385"/>
      <c r="Q1" s="385"/>
    </row>
    <row r="2" spans="1:20" ht="14.25" customHeight="1" x14ac:dyDescent="0.3">
      <c r="A2" s="385" t="s">
        <v>261</v>
      </c>
      <c r="B2" s="385"/>
      <c r="C2" s="385"/>
      <c r="D2" s="385"/>
      <c r="E2" s="385"/>
      <c r="F2" s="385"/>
      <c r="G2" s="385"/>
      <c r="H2" s="385"/>
      <c r="I2" s="385"/>
      <c r="J2" s="385"/>
      <c r="K2" s="385"/>
      <c r="L2" s="385"/>
      <c r="M2" s="385"/>
      <c r="N2" s="385"/>
      <c r="O2" s="385"/>
      <c r="P2" s="385"/>
      <c r="Q2" s="385"/>
    </row>
    <row r="3" spans="1:20" ht="14.25" customHeight="1" x14ac:dyDescent="0.3">
      <c r="A3" s="1" t="s">
        <v>1</v>
      </c>
      <c r="C3" s="1" t="s">
        <v>603</v>
      </c>
    </row>
    <row r="4" spans="1:20" ht="14.25" customHeight="1" x14ac:dyDescent="0.3">
      <c r="A4" s="1" t="s">
        <v>2</v>
      </c>
      <c r="C4" s="1" t="s">
        <v>604</v>
      </c>
      <c r="D4" s="4"/>
    </row>
    <row r="6" spans="1:20" x14ac:dyDescent="0.3">
      <c r="A6" s="386" t="s">
        <v>3</v>
      </c>
      <c r="B6" s="388" t="s">
        <v>4</v>
      </c>
      <c r="C6" s="388"/>
      <c r="D6" s="389" t="s">
        <v>259</v>
      </c>
      <c r="E6" s="391" t="s">
        <v>7</v>
      </c>
      <c r="F6" s="393" t="s">
        <v>170</v>
      </c>
      <c r="G6" s="393"/>
      <c r="H6" s="393"/>
      <c r="I6" s="393" t="s">
        <v>12</v>
      </c>
      <c r="J6" s="393"/>
      <c r="K6" s="393"/>
      <c r="L6" s="393"/>
      <c r="M6" s="393"/>
      <c r="N6" s="391" t="s">
        <v>17</v>
      </c>
      <c r="O6" s="391"/>
      <c r="P6" s="391" t="s">
        <v>258</v>
      </c>
      <c r="Q6" s="386" t="s">
        <v>192</v>
      </c>
    </row>
    <row r="7" spans="1:20" x14ac:dyDescent="0.3">
      <c r="A7" s="387"/>
      <c r="B7" s="394" t="s">
        <v>5</v>
      </c>
      <c r="C7" s="394"/>
      <c r="D7" s="390"/>
      <c r="E7" s="392"/>
      <c r="F7" s="147" t="s">
        <v>9</v>
      </c>
      <c r="G7" s="147" t="s">
        <v>10</v>
      </c>
      <c r="H7" s="147" t="s">
        <v>11</v>
      </c>
      <c r="I7" s="147" t="s">
        <v>16</v>
      </c>
      <c r="J7" s="147" t="s">
        <v>13</v>
      </c>
      <c r="K7" s="147" t="s">
        <v>14</v>
      </c>
      <c r="L7" s="148" t="s">
        <v>257</v>
      </c>
      <c r="M7" s="147" t="s">
        <v>11</v>
      </c>
      <c r="N7" s="392"/>
      <c r="O7" s="392"/>
      <c r="P7" s="392"/>
      <c r="Q7" s="387"/>
    </row>
    <row r="8" spans="1:20" ht="9" customHeight="1" x14ac:dyDescent="0.3">
      <c r="A8" s="5"/>
      <c r="B8" s="8"/>
      <c r="C8" s="10"/>
      <c r="D8" s="5"/>
      <c r="E8" s="5"/>
      <c r="F8" s="5"/>
      <c r="G8" s="5"/>
      <c r="H8" s="5"/>
      <c r="I8" s="5"/>
      <c r="J8" s="5"/>
      <c r="K8" s="5"/>
      <c r="L8" s="5"/>
      <c r="M8" s="5"/>
      <c r="N8" s="8"/>
      <c r="O8" s="10"/>
      <c r="P8" s="10"/>
      <c r="Q8" s="5"/>
    </row>
    <row r="9" spans="1:20" ht="18.75" customHeight="1" x14ac:dyDescent="0.3">
      <c r="A9" s="13">
        <v>1</v>
      </c>
      <c r="B9" s="14" t="s">
        <v>20</v>
      </c>
      <c r="C9" s="15"/>
      <c r="D9" s="16"/>
      <c r="E9" s="47"/>
      <c r="F9" s="16"/>
      <c r="G9" s="16"/>
      <c r="H9" s="16"/>
      <c r="I9" s="16"/>
      <c r="J9" s="16"/>
      <c r="K9" s="16"/>
      <c r="L9" s="16"/>
      <c r="M9" s="16"/>
      <c r="N9" s="35"/>
      <c r="O9" s="36"/>
      <c r="P9" s="36"/>
      <c r="Q9" s="16"/>
    </row>
    <row r="10" spans="1:20" ht="18.75" customHeight="1" x14ac:dyDescent="0.3">
      <c r="A10" s="13"/>
      <c r="B10" s="17" t="s">
        <v>57</v>
      </c>
      <c r="C10" s="15" t="s">
        <v>21</v>
      </c>
      <c r="D10" s="18">
        <v>418.06</v>
      </c>
      <c r="E10" s="47" t="s">
        <v>36</v>
      </c>
      <c r="F10" s="26">
        <f>4%*D10</f>
        <v>16.7224</v>
      </c>
      <c r="G10" s="26">
        <v>8</v>
      </c>
      <c r="H10" s="26">
        <f>SUM(F10:G10)</f>
        <v>24.7224</v>
      </c>
      <c r="I10" s="19">
        <v>0</v>
      </c>
      <c r="J10" s="19"/>
      <c r="K10" s="19">
        <v>3</v>
      </c>
      <c r="L10" s="19">
        <v>4</v>
      </c>
      <c r="M10" s="20">
        <f>SUM(I10:L10)</f>
        <v>7</v>
      </c>
      <c r="N10" s="37"/>
      <c r="O10" s="36"/>
      <c r="P10" s="172">
        <f t="shared" ref="P10:P23" si="0">G10*0.261*12%*50000000</f>
        <v>12528000</v>
      </c>
      <c r="Q10" s="16"/>
      <c r="S10" s="1" t="s">
        <v>333</v>
      </c>
      <c r="T10" s="1" t="s">
        <v>341</v>
      </c>
    </row>
    <row r="11" spans="1:20" ht="18.75" customHeight="1" x14ac:dyDescent="0.3">
      <c r="A11" s="13"/>
      <c r="B11" s="14"/>
      <c r="C11" s="15"/>
      <c r="D11" s="18"/>
      <c r="E11" s="47" t="s">
        <v>37</v>
      </c>
      <c r="F11" s="26">
        <f>4%*D10</f>
        <v>16.7224</v>
      </c>
      <c r="G11" s="26">
        <v>3</v>
      </c>
      <c r="H11" s="26">
        <f>SUM(F11:G11)</f>
        <v>19.7224</v>
      </c>
      <c r="I11" s="19">
        <v>0</v>
      </c>
      <c r="J11" s="19"/>
      <c r="K11" s="19"/>
      <c r="L11" s="19">
        <v>3</v>
      </c>
      <c r="M11" s="20">
        <f t="shared" ref="M11:M23" si="1">SUM(I11:L11)</f>
        <v>3</v>
      </c>
      <c r="N11" s="37" t="s">
        <v>51</v>
      </c>
      <c r="O11" s="38" t="s">
        <v>50</v>
      </c>
      <c r="P11" s="172">
        <f t="shared" si="0"/>
        <v>4698000</v>
      </c>
      <c r="Q11" s="16"/>
    </row>
    <row r="12" spans="1:20" ht="18.75" customHeight="1" x14ac:dyDescent="0.3">
      <c r="A12" s="13"/>
      <c r="B12" s="14"/>
      <c r="C12" s="15"/>
      <c r="D12" s="18"/>
      <c r="E12" s="47" t="s">
        <v>38</v>
      </c>
      <c r="F12" s="26">
        <f>3%*D10</f>
        <v>12.5418</v>
      </c>
      <c r="G12" s="26">
        <f>0%*D10</f>
        <v>0</v>
      </c>
      <c r="H12" s="26">
        <f>SUM(F12:G12)</f>
        <v>12.5418</v>
      </c>
      <c r="I12" s="19">
        <v>0</v>
      </c>
      <c r="J12" s="19"/>
      <c r="K12" s="19">
        <v>3</v>
      </c>
      <c r="L12" s="19">
        <v>4</v>
      </c>
      <c r="M12" s="20">
        <f t="shared" si="1"/>
        <v>7</v>
      </c>
      <c r="N12" s="37" t="s">
        <v>51</v>
      </c>
      <c r="O12" s="36" t="s">
        <v>49</v>
      </c>
      <c r="P12" s="172">
        <f t="shared" si="0"/>
        <v>0</v>
      </c>
      <c r="Q12" s="16"/>
      <c r="S12" s="1" t="s">
        <v>343</v>
      </c>
    </row>
    <row r="13" spans="1:20" ht="28.5" customHeight="1" x14ac:dyDescent="0.3">
      <c r="A13" s="13"/>
      <c r="B13" s="14"/>
      <c r="C13" s="15"/>
      <c r="D13" s="18"/>
      <c r="E13" s="48" t="s">
        <v>39</v>
      </c>
      <c r="F13" s="96">
        <f>20%*D10</f>
        <v>83.612000000000009</v>
      </c>
      <c r="G13" s="96">
        <v>4</v>
      </c>
      <c r="H13" s="96">
        <f>SUM(F13:G13)</f>
        <v>87.612000000000009</v>
      </c>
      <c r="I13" s="97">
        <v>0</v>
      </c>
      <c r="J13" s="97">
        <v>0</v>
      </c>
      <c r="K13" s="97">
        <v>0</v>
      </c>
      <c r="L13" s="97">
        <v>3</v>
      </c>
      <c r="M13" s="121">
        <f t="shared" si="1"/>
        <v>3</v>
      </c>
      <c r="N13" s="39" t="s">
        <v>51</v>
      </c>
      <c r="O13" s="40" t="s">
        <v>48</v>
      </c>
      <c r="P13" s="172">
        <f t="shared" si="0"/>
        <v>6264000</v>
      </c>
      <c r="Q13" s="16"/>
      <c r="S13" s="1" t="s">
        <v>342</v>
      </c>
    </row>
    <row r="14" spans="1:20" ht="18.75" customHeight="1" x14ac:dyDescent="0.3">
      <c r="A14" s="13"/>
      <c r="B14" s="17" t="s">
        <v>58</v>
      </c>
      <c r="C14" s="15" t="s">
        <v>22</v>
      </c>
      <c r="D14" s="18">
        <v>827.82</v>
      </c>
      <c r="E14" s="47" t="s">
        <v>36</v>
      </c>
      <c r="F14" s="26">
        <f>5%*D14</f>
        <v>41.391000000000005</v>
      </c>
      <c r="G14" s="26">
        <f>1%*D14</f>
        <v>8.2782</v>
      </c>
      <c r="H14" s="26">
        <f>SUM(F14:G14)</f>
        <v>49.669200000000004</v>
      </c>
      <c r="I14" s="19">
        <v>0</v>
      </c>
      <c r="J14" s="19"/>
      <c r="K14" s="19">
        <v>5</v>
      </c>
      <c r="L14" s="19">
        <v>5</v>
      </c>
      <c r="M14" s="20">
        <f t="shared" si="1"/>
        <v>10</v>
      </c>
      <c r="N14" s="35" t="s">
        <v>51</v>
      </c>
      <c r="O14" s="41" t="s">
        <v>137</v>
      </c>
      <c r="P14" s="172">
        <f t="shared" si="0"/>
        <v>12963661.200000001</v>
      </c>
      <c r="Q14" s="16"/>
    </row>
    <row r="15" spans="1:20" ht="18.75" customHeight="1" x14ac:dyDescent="0.3">
      <c r="A15" s="13"/>
      <c r="B15" s="14"/>
      <c r="C15" s="15"/>
      <c r="D15" s="26"/>
      <c r="E15" s="47" t="s">
        <v>37</v>
      </c>
      <c r="F15" s="26">
        <f>3%*D14</f>
        <v>24.834600000000002</v>
      </c>
      <c r="G15" s="26">
        <f>2%*D14</f>
        <v>16.5564</v>
      </c>
      <c r="H15" s="26">
        <f t="shared" ref="H15:H17" si="2">SUM(F15:G15)</f>
        <v>41.391000000000005</v>
      </c>
      <c r="I15" s="19">
        <v>0</v>
      </c>
      <c r="J15" s="19"/>
      <c r="K15" s="19">
        <v>5</v>
      </c>
      <c r="L15" s="19">
        <v>5</v>
      </c>
      <c r="M15" s="20">
        <f t="shared" si="1"/>
        <v>10</v>
      </c>
      <c r="N15" s="35"/>
      <c r="O15" s="36"/>
      <c r="P15" s="172">
        <f t="shared" si="0"/>
        <v>25927322.400000002</v>
      </c>
      <c r="Q15" s="16"/>
      <c r="S15" s="1" t="s">
        <v>344</v>
      </c>
    </row>
    <row r="16" spans="1:20" ht="18.75" customHeight="1" x14ac:dyDescent="0.3">
      <c r="A16" s="13"/>
      <c r="B16" s="14"/>
      <c r="C16" s="15"/>
      <c r="D16" s="26"/>
      <c r="E16" s="47" t="s">
        <v>38</v>
      </c>
      <c r="F16" s="26">
        <f>4%*D14</f>
        <v>33.1128</v>
      </c>
      <c r="G16" s="26">
        <f>3%*D14</f>
        <v>24.834600000000002</v>
      </c>
      <c r="H16" s="26">
        <f t="shared" si="2"/>
        <v>57.947400000000002</v>
      </c>
      <c r="I16" s="19">
        <v>0</v>
      </c>
      <c r="J16" s="19"/>
      <c r="K16" s="19">
        <v>5</v>
      </c>
      <c r="L16" s="19">
        <v>3</v>
      </c>
      <c r="M16" s="20">
        <f t="shared" si="1"/>
        <v>8</v>
      </c>
      <c r="N16" s="35"/>
      <c r="O16" s="36"/>
      <c r="P16" s="172">
        <f t="shared" si="0"/>
        <v>38890983.600000001</v>
      </c>
      <c r="Q16" s="16"/>
      <c r="S16" s="1" t="s">
        <v>345</v>
      </c>
    </row>
    <row r="17" spans="1:19" ht="29.25" customHeight="1" x14ac:dyDescent="0.3">
      <c r="A17" s="54"/>
      <c r="B17" s="55"/>
      <c r="C17" s="56"/>
      <c r="D17" s="57"/>
      <c r="E17" s="58" t="s">
        <v>39</v>
      </c>
      <c r="F17" s="119">
        <f>6%*D14</f>
        <v>49.669200000000004</v>
      </c>
      <c r="G17" s="119">
        <f>8%*D14</f>
        <v>66.2256</v>
      </c>
      <c r="H17" s="119">
        <f t="shared" si="2"/>
        <v>115.8948</v>
      </c>
      <c r="I17" s="59">
        <v>0</v>
      </c>
      <c r="J17" s="59">
        <v>0</v>
      </c>
      <c r="K17" s="59">
        <v>0</v>
      </c>
      <c r="L17" s="59">
        <v>4</v>
      </c>
      <c r="M17" s="60">
        <f t="shared" si="1"/>
        <v>4</v>
      </c>
      <c r="N17" s="42"/>
      <c r="O17" s="38"/>
      <c r="P17" s="174">
        <f t="shared" si="0"/>
        <v>103709289.60000001</v>
      </c>
      <c r="Q17" s="29"/>
    </row>
    <row r="18" spans="1:19" ht="15" customHeight="1" x14ac:dyDescent="0.3">
      <c r="A18" s="54"/>
      <c r="B18" s="55" t="s">
        <v>59</v>
      </c>
      <c r="C18" s="56" t="s">
        <v>27</v>
      </c>
      <c r="D18" s="18">
        <v>113.45</v>
      </c>
      <c r="E18" s="47" t="s">
        <v>36</v>
      </c>
      <c r="F18" s="26">
        <f>50%*D18</f>
        <v>56.725000000000001</v>
      </c>
      <c r="G18" s="26">
        <f>4%*D18</f>
        <v>4.5380000000000003</v>
      </c>
      <c r="H18" s="26">
        <f>SUM(F18:G18)</f>
        <v>61.263000000000005</v>
      </c>
      <c r="I18" s="19">
        <v>0</v>
      </c>
      <c r="J18" s="19"/>
      <c r="K18" s="19">
        <v>2</v>
      </c>
      <c r="L18" s="19"/>
      <c r="M18" s="20">
        <f t="shared" si="1"/>
        <v>2</v>
      </c>
      <c r="N18" s="42"/>
      <c r="O18" s="38"/>
      <c r="P18" s="172">
        <f t="shared" si="0"/>
        <v>7106508</v>
      </c>
      <c r="Q18" s="29"/>
    </row>
    <row r="19" spans="1:19" ht="15" customHeight="1" x14ac:dyDescent="0.3">
      <c r="A19" s="54"/>
      <c r="B19" s="55"/>
      <c r="C19" s="56"/>
      <c r="D19" s="26"/>
      <c r="E19" s="47" t="s">
        <v>37</v>
      </c>
      <c r="F19" s="26">
        <f>2%*D18</f>
        <v>2.2690000000000001</v>
      </c>
      <c r="G19" s="26">
        <f>5%*D18</f>
        <v>5.6725000000000003</v>
      </c>
      <c r="H19" s="26">
        <f t="shared" ref="H19:H20" si="3">SUM(F19:G19)</f>
        <v>7.9415000000000004</v>
      </c>
      <c r="I19" s="19">
        <v>0</v>
      </c>
      <c r="J19" s="19"/>
      <c r="K19" s="19">
        <v>2</v>
      </c>
      <c r="L19" s="19">
        <v>1</v>
      </c>
      <c r="M19" s="20">
        <f t="shared" si="1"/>
        <v>3</v>
      </c>
      <c r="N19" s="42"/>
      <c r="O19" s="38"/>
      <c r="P19" s="172">
        <f t="shared" si="0"/>
        <v>8883135</v>
      </c>
      <c r="Q19" s="29"/>
    </row>
    <row r="20" spans="1:19" ht="14.25" customHeight="1" x14ac:dyDescent="0.3">
      <c r="A20" s="54"/>
      <c r="B20" s="55"/>
      <c r="C20" s="56"/>
      <c r="D20" s="26"/>
      <c r="E20" s="47" t="s">
        <v>38</v>
      </c>
      <c r="F20" s="26">
        <f>2%*D18</f>
        <v>2.2690000000000001</v>
      </c>
      <c r="G20" s="26">
        <f>30%*D18</f>
        <v>34.034999999999997</v>
      </c>
      <c r="H20" s="26">
        <f t="shared" si="3"/>
        <v>36.303999999999995</v>
      </c>
      <c r="I20" s="19">
        <v>0</v>
      </c>
      <c r="J20" s="19"/>
      <c r="K20" s="19">
        <v>4</v>
      </c>
      <c r="L20" s="19">
        <v>1</v>
      </c>
      <c r="M20" s="20">
        <f t="shared" si="1"/>
        <v>5</v>
      </c>
      <c r="N20" s="42"/>
      <c r="O20" s="38"/>
      <c r="P20" s="172">
        <f t="shared" si="0"/>
        <v>53298810</v>
      </c>
      <c r="Q20" s="29"/>
    </row>
    <row r="21" spans="1:19" ht="18.75" customHeight="1" x14ac:dyDescent="0.3">
      <c r="A21" s="13"/>
      <c r="B21" s="17" t="s">
        <v>60</v>
      </c>
      <c r="C21" s="15" t="s">
        <v>42</v>
      </c>
      <c r="D21" s="18">
        <v>526.28</v>
      </c>
      <c r="E21" s="47" t="s">
        <v>36</v>
      </c>
      <c r="F21" s="26">
        <f>50%*D18</f>
        <v>56.725000000000001</v>
      </c>
      <c r="G21" s="26">
        <f>5%*D21</f>
        <v>26.314</v>
      </c>
      <c r="H21" s="26">
        <f>SUM(F21:G21)</f>
        <v>83.039000000000001</v>
      </c>
      <c r="I21" s="19">
        <v>0</v>
      </c>
      <c r="J21" s="19"/>
      <c r="K21" s="19"/>
      <c r="L21" s="19">
        <v>4</v>
      </c>
      <c r="M21" s="20">
        <f t="shared" si="1"/>
        <v>4</v>
      </c>
      <c r="N21" s="35"/>
      <c r="O21" s="36"/>
      <c r="P21" s="172">
        <f t="shared" si="0"/>
        <v>41207724</v>
      </c>
      <c r="Q21" s="29"/>
    </row>
    <row r="22" spans="1:19" ht="18.75" customHeight="1" x14ac:dyDescent="0.3">
      <c r="A22" s="13"/>
      <c r="B22" s="14"/>
      <c r="C22" s="15"/>
      <c r="D22" s="26"/>
      <c r="E22" s="47" t="s">
        <v>37</v>
      </c>
      <c r="F22" s="26">
        <f>43%*D21</f>
        <v>226.3004</v>
      </c>
      <c r="G22" s="26">
        <f>3%*D21</f>
        <v>15.788399999999999</v>
      </c>
      <c r="H22" s="26">
        <f t="shared" ref="H22:H23" si="4">SUM(F22:G22)</f>
        <v>242.08879999999999</v>
      </c>
      <c r="I22" s="19">
        <v>0</v>
      </c>
      <c r="J22" s="19"/>
      <c r="K22" s="19"/>
      <c r="L22" s="19">
        <v>4</v>
      </c>
      <c r="M22" s="20">
        <f t="shared" si="1"/>
        <v>4</v>
      </c>
      <c r="N22" s="35"/>
      <c r="O22" s="36"/>
      <c r="P22" s="172">
        <f t="shared" si="0"/>
        <v>24724634.399999999</v>
      </c>
      <c r="Q22" s="29"/>
    </row>
    <row r="23" spans="1:19" ht="18.75" customHeight="1" x14ac:dyDescent="0.3">
      <c r="A23" s="13"/>
      <c r="B23" s="14"/>
      <c r="C23" s="15"/>
      <c r="D23" s="26"/>
      <c r="E23" s="47" t="s">
        <v>38</v>
      </c>
      <c r="F23" s="26">
        <f>2%*D21</f>
        <v>10.525599999999999</v>
      </c>
      <c r="G23" s="26">
        <f>35%*D21</f>
        <v>184.19799999999998</v>
      </c>
      <c r="H23" s="26">
        <f t="shared" si="4"/>
        <v>194.72359999999998</v>
      </c>
      <c r="I23" s="19">
        <v>0</v>
      </c>
      <c r="J23" s="19"/>
      <c r="K23" s="19"/>
      <c r="L23" s="19">
        <v>3</v>
      </c>
      <c r="M23" s="20">
        <f t="shared" si="1"/>
        <v>3</v>
      </c>
      <c r="N23" s="80"/>
      <c r="O23" s="81"/>
      <c r="P23" s="172">
        <f t="shared" si="0"/>
        <v>288454068</v>
      </c>
      <c r="Q23" s="88"/>
    </row>
    <row r="24" spans="1:19" ht="18.75" customHeight="1" x14ac:dyDescent="0.3">
      <c r="A24" s="89"/>
      <c r="B24" s="402" t="s">
        <v>325</v>
      </c>
      <c r="C24" s="403"/>
      <c r="D24" s="73">
        <f>SUM(D9:D17)</f>
        <v>1245.8800000000001</v>
      </c>
      <c r="E24" s="74"/>
      <c r="F24" s="118">
        <f>SUM(F9:F17)</f>
        <v>278.6062</v>
      </c>
      <c r="G24" s="118">
        <f>SUM(G9:G17)</f>
        <v>130.89479999999998</v>
      </c>
      <c r="H24" s="118">
        <f>SUM(H9:H17)</f>
        <v>409.50100000000009</v>
      </c>
      <c r="I24" s="75">
        <f>SUM(I9:I17)</f>
        <v>0</v>
      </c>
      <c r="J24" s="75">
        <f>SUM(J9:J17)</f>
        <v>0</v>
      </c>
      <c r="K24" s="75">
        <f>SUM(K8:K23)</f>
        <v>29</v>
      </c>
      <c r="L24" s="160">
        <f>SUM(L10:L23)</f>
        <v>44</v>
      </c>
      <c r="M24" s="75">
        <f>SUM(M9:M17)</f>
        <v>52</v>
      </c>
      <c r="N24" s="76"/>
      <c r="O24" s="77"/>
      <c r="P24" s="173">
        <f>SUM(P10:P23)</f>
        <v>628656136.20000005</v>
      </c>
      <c r="Q24" s="75"/>
    </row>
    <row r="25" spans="1:19" ht="18.75" customHeight="1" x14ac:dyDescent="0.3">
      <c r="A25" s="63">
        <v>2</v>
      </c>
      <c r="B25" s="64" t="s">
        <v>23</v>
      </c>
      <c r="C25" s="65"/>
      <c r="D25" s="66"/>
      <c r="E25" s="67"/>
      <c r="F25" s="68"/>
      <c r="G25" s="68"/>
      <c r="H25" s="68"/>
      <c r="I25" s="68"/>
      <c r="J25" s="68"/>
      <c r="K25" s="68"/>
      <c r="L25" s="68"/>
      <c r="M25" s="68"/>
      <c r="N25" s="69"/>
      <c r="O25" s="70"/>
      <c r="P25" s="70"/>
      <c r="Q25" s="68"/>
    </row>
    <row r="26" spans="1:19" ht="18.75" customHeight="1" x14ac:dyDescent="0.3">
      <c r="A26" s="13"/>
      <c r="B26" s="14" t="s">
        <v>57</v>
      </c>
      <c r="C26" s="15" t="s">
        <v>22</v>
      </c>
      <c r="D26" s="26">
        <v>202.18</v>
      </c>
      <c r="E26" s="47" t="s">
        <v>40</v>
      </c>
      <c r="F26" s="19">
        <v>0</v>
      </c>
      <c r="G26" s="19">
        <f>2%*D26</f>
        <v>4.0436000000000005</v>
      </c>
      <c r="H26" s="19">
        <f t="shared" ref="H26" si="5">SUM(F26:G26)</f>
        <v>4.0436000000000005</v>
      </c>
      <c r="I26" s="19">
        <v>0</v>
      </c>
      <c r="J26" s="19">
        <v>0</v>
      </c>
      <c r="K26" s="19">
        <v>0</v>
      </c>
      <c r="L26" s="19">
        <v>2</v>
      </c>
      <c r="M26" s="20">
        <f t="shared" ref="M26:M27" si="6">SUM(I26:L26)</f>
        <v>2</v>
      </c>
      <c r="N26" s="37" t="s">
        <v>51</v>
      </c>
      <c r="O26" s="404" t="s">
        <v>279</v>
      </c>
      <c r="P26" s="175">
        <f>G26*0.52*20%*50000000</f>
        <v>21026720.000000007</v>
      </c>
      <c r="Q26" s="16"/>
    </row>
    <row r="27" spans="1:19" ht="18.75" customHeight="1" x14ac:dyDescent="0.3">
      <c r="A27" s="54"/>
      <c r="B27" s="55"/>
      <c r="C27" s="56"/>
      <c r="D27" s="57"/>
      <c r="E27" s="85" t="s">
        <v>251</v>
      </c>
      <c r="F27" s="79"/>
      <c r="G27" s="79">
        <f>1.25%*D26</f>
        <v>2.5272500000000004</v>
      </c>
      <c r="H27" s="79"/>
      <c r="I27" s="19">
        <v>0</v>
      </c>
      <c r="J27" s="19">
        <v>0</v>
      </c>
      <c r="K27" s="19">
        <v>0</v>
      </c>
      <c r="L27" s="19">
        <v>0</v>
      </c>
      <c r="M27" s="20">
        <f t="shared" si="6"/>
        <v>0</v>
      </c>
      <c r="N27" s="37"/>
      <c r="O27" s="404"/>
      <c r="P27" s="175">
        <f>G27*0.52*15%*50000000</f>
        <v>9856275.0000000019</v>
      </c>
      <c r="Q27" s="16"/>
    </row>
    <row r="28" spans="1:19" ht="18.75" customHeight="1" x14ac:dyDescent="0.3">
      <c r="A28" s="54"/>
      <c r="B28" s="55" t="s">
        <v>58</v>
      </c>
      <c r="C28" s="56" t="s">
        <v>42</v>
      </c>
      <c r="D28" s="57">
        <v>55</v>
      </c>
      <c r="E28" s="47" t="s">
        <v>40</v>
      </c>
      <c r="F28" s="19">
        <v>0</v>
      </c>
      <c r="G28" s="19">
        <f>9%*D28</f>
        <v>4.95</v>
      </c>
      <c r="H28" s="19">
        <f t="shared" ref="H28" si="7">SUM(F28:G28)</f>
        <v>4.95</v>
      </c>
      <c r="I28" s="19">
        <v>0</v>
      </c>
      <c r="J28" s="19"/>
      <c r="K28" s="19">
        <v>0</v>
      </c>
      <c r="L28" s="19">
        <v>0</v>
      </c>
      <c r="M28" s="20">
        <f t="shared" ref="M28:M30" si="8">SUM(I28:L28)</f>
        <v>0</v>
      </c>
      <c r="N28" s="37"/>
      <c r="O28" s="404"/>
      <c r="P28" s="175">
        <f>G28*0.52*20%*50000000</f>
        <v>25740000</v>
      </c>
      <c r="Q28" s="16"/>
      <c r="R28" s="1" t="s">
        <v>333</v>
      </c>
      <c r="S28" s="1" t="s">
        <v>334</v>
      </c>
    </row>
    <row r="29" spans="1:19" ht="18.75" customHeight="1" x14ac:dyDescent="0.3">
      <c r="A29" s="54"/>
      <c r="B29" s="55"/>
      <c r="C29" s="56"/>
      <c r="D29" s="57"/>
      <c r="E29" s="85" t="s">
        <v>250</v>
      </c>
      <c r="F29" s="79"/>
      <c r="G29" s="79">
        <f>1.25%*D28</f>
        <v>0.6875</v>
      </c>
      <c r="H29" s="79"/>
      <c r="I29" s="19">
        <v>0</v>
      </c>
      <c r="J29" s="19"/>
      <c r="K29" s="19"/>
      <c r="L29" s="19">
        <v>1</v>
      </c>
      <c r="M29" s="20">
        <f t="shared" si="8"/>
        <v>1</v>
      </c>
      <c r="N29" s="37"/>
      <c r="O29" s="404"/>
      <c r="P29" s="175">
        <f>G29*0.52*15%*50000000</f>
        <v>2681250.0000000005</v>
      </c>
      <c r="Q29" s="16"/>
    </row>
    <row r="30" spans="1:19" ht="18.75" customHeight="1" x14ac:dyDescent="0.3">
      <c r="A30" s="54"/>
      <c r="B30" s="55" t="s">
        <v>59</v>
      </c>
      <c r="C30" s="56" t="s">
        <v>21</v>
      </c>
      <c r="D30" s="57">
        <v>66.94</v>
      </c>
      <c r="E30" s="47" t="s">
        <v>40</v>
      </c>
      <c r="F30" s="19">
        <v>0</v>
      </c>
      <c r="G30" s="19">
        <f>6%*D30</f>
        <v>4.0164</v>
      </c>
      <c r="H30" s="19">
        <f t="shared" ref="H30" si="9">SUM(F30:G30)</f>
        <v>4.0164</v>
      </c>
      <c r="I30" s="19">
        <v>0</v>
      </c>
      <c r="J30" s="19">
        <v>0</v>
      </c>
      <c r="K30" s="19">
        <v>0</v>
      </c>
      <c r="L30" s="19">
        <v>2</v>
      </c>
      <c r="M30" s="20">
        <f t="shared" si="8"/>
        <v>2</v>
      </c>
      <c r="N30" s="95"/>
      <c r="O30" s="399"/>
      <c r="P30" s="175">
        <f>G30*0.52*20%*50000000</f>
        <v>20885280.000000004</v>
      </c>
      <c r="Q30" s="87"/>
    </row>
    <row r="31" spans="1:19" ht="18.75" customHeight="1" x14ac:dyDescent="0.3">
      <c r="A31" s="89"/>
      <c r="B31" s="402" t="s">
        <v>326</v>
      </c>
      <c r="C31" s="403"/>
      <c r="D31" s="73">
        <f>SUM(D25:D30)</f>
        <v>324.12</v>
      </c>
      <c r="E31" s="74"/>
      <c r="F31" s="83">
        <f t="shared" ref="F31:K31" si="10">SUM(F25:F30)</f>
        <v>0</v>
      </c>
      <c r="G31" s="83">
        <f t="shared" si="10"/>
        <v>16.22475</v>
      </c>
      <c r="H31" s="83">
        <f t="shared" si="10"/>
        <v>13.010000000000002</v>
      </c>
      <c r="I31" s="83">
        <f t="shared" si="10"/>
        <v>0</v>
      </c>
      <c r="J31" s="83">
        <f t="shared" si="10"/>
        <v>0</v>
      </c>
      <c r="K31" s="83">
        <f t="shared" si="10"/>
        <v>0</v>
      </c>
      <c r="L31" s="83">
        <f>SUM(L26:L30)</f>
        <v>5</v>
      </c>
      <c r="M31" s="83">
        <f>SUM(M25:M30)</f>
        <v>5</v>
      </c>
      <c r="N31" s="76"/>
      <c r="O31" s="77"/>
      <c r="P31" s="77"/>
      <c r="Q31" s="75"/>
    </row>
    <row r="32" spans="1:19" ht="18.75" customHeight="1" x14ac:dyDescent="0.3">
      <c r="A32" s="63">
        <v>3</v>
      </c>
      <c r="B32" s="64" t="s">
        <v>19</v>
      </c>
      <c r="C32" s="65"/>
      <c r="D32" s="66"/>
      <c r="E32" s="67"/>
      <c r="F32" s="82"/>
      <c r="G32" s="82"/>
      <c r="H32" s="82"/>
      <c r="I32" s="82"/>
      <c r="J32" s="82"/>
      <c r="K32" s="82"/>
      <c r="L32" s="82"/>
      <c r="M32" s="82"/>
      <c r="N32" s="69"/>
      <c r="O32" s="70"/>
      <c r="P32" s="70"/>
      <c r="Q32" s="68"/>
    </row>
    <row r="33" spans="1:17" ht="15.75" customHeight="1" x14ac:dyDescent="0.3">
      <c r="A33" s="13"/>
      <c r="B33" s="14" t="s">
        <v>57</v>
      </c>
      <c r="C33" s="15" t="s">
        <v>24</v>
      </c>
      <c r="D33" s="26">
        <f>1372.4+494</f>
        <v>1866.4</v>
      </c>
      <c r="E33" s="50" t="s">
        <v>52</v>
      </c>
      <c r="F33" s="19">
        <v>0</v>
      </c>
      <c r="G33" s="26">
        <f>30%*D33</f>
        <v>559.91999999999996</v>
      </c>
      <c r="H33" s="26">
        <f>SUM(F33:G33)</f>
        <v>559.91999999999996</v>
      </c>
      <c r="I33" s="19">
        <v>0</v>
      </c>
      <c r="J33" s="19"/>
      <c r="K33" s="19">
        <v>10</v>
      </c>
      <c r="L33" s="19">
        <v>2</v>
      </c>
      <c r="M33" s="19">
        <f>SUM(I33:L33)</f>
        <v>12</v>
      </c>
      <c r="N33" s="35" t="s">
        <v>262</v>
      </c>
      <c r="O33" s="36"/>
      <c r="P33" s="161">
        <f t="shared" ref="P33:P62" si="11">G33*0.815*26%*4000000</f>
        <v>474588191.99999994</v>
      </c>
      <c r="Q33" s="16"/>
    </row>
    <row r="34" spans="1:17" ht="15" customHeight="1" x14ac:dyDescent="0.3">
      <c r="A34" s="13"/>
      <c r="B34" s="14"/>
      <c r="C34" s="15"/>
      <c r="D34" s="26"/>
      <c r="E34" s="47" t="s">
        <v>234</v>
      </c>
      <c r="F34" s="26"/>
      <c r="G34" s="26">
        <f>15%*D33</f>
        <v>279.95999999999998</v>
      </c>
      <c r="H34" s="26">
        <f>F34+G34</f>
        <v>279.95999999999998</v>
      </c>
      <c r="I34" s="19">
        <v>0</v>
      </c>
      <c r="J34" s="19"/>
      <c r="K34" s="19">
        <v>0</v>
      </c>
      <c r="L34" s="19">
        <v>4</v>
      </c>
      <c r="M34" s="19">
        <f>SUM(I34:L34)</f>
        <v>4</v>
      </c>
      <c r="N34" s="35" t="s">
        <v>263</v>
      </c>
      <c r="O34" s="36"/>
      <c r="P34" s="161">
        <f t="shared" si="11"/>
        <v>237294095.99999997</v>
      </c>
      <c r="Q34" s="16"/>
    </row>
    <row r="35" spans="1:17" ht="18.75" customHeight="1" x14ac:dyDescent="0.3">
      <c r="A35" s="13"/>
      <c r="B35" s="14" t="s">
        <v>58</v>
      </c>
      <c r="C35" s="15" t="s">
        <v>25</v>
      </c>
      <c r="D35" s="26">
        <f>994.7+363.2</f>
        <v>1357.9</v>
      </c>
      <c r="E35" s="50" t="s">
        <v>52</v>
      </c>
      <c r="F35" s="19">
        <v>0</v>
      </c>
      <c r="G35" s="26">
        <f>15%*D35</f>
        <v>203.685</v>
      </c>
      <c r="H35" s="26">
        <f t="shared" ref="H35:H61" si="12">SUM(F35:G35)</f>
        <v>203.685</v>
      </c>
      <c r="I35" s="19">
        <v>0</v>
      </c>
      <c r="J35" s="19"/>
      <c r="K35" s="19">
        <v>0</v>
      </c>
      <c r="L35" s="19">
        <v>0</v>
      </c>
      <c r="M35" s="19">
        <f t="shared" ref="M35:M62" si="13">SUM(I35:L35)</f>
        <v>0</v>
      </c>
      <c r="N35" s="35" t="s">
        <v>264</v>
      </c>
      <c r="O35" s="36"/>
      <c r="P35" s="161">
        <f t="shared" si="11"/>
        <v>172643406</v>
      </c>
      <c r="Q35" s="16"/>
    </row>
    <row r="36" spans="1:17" ht="17.25" customHeight="1" x14ac:dyDescent="0.3">
      <c r="A36" s="13"/>
      <c r="B36" s="14" t="s">
        <v>59</v>
      </c>
      <c r="C36" s="15" t="s">
        <v>26</v>
      </c>
      <c r="D36" s="26">
        <f>976.5+338</f>
        <v>1314.5</v>
      </c>
      <c r="E36" s="50" t="s">
        <v>52</v>
      </c>
      <c r="F36" s="19">
        <v>0</v>
      </c>
      <c r="G36" s="26">
        <f>20%*D36</f>
        <v>262.90000000000003</v>
      </c>
      <c r="H36" s="26">
        <f t="shared" si="12"/>
        <v>262.90000000000003</v>
      </c>
      <c r="I36" s="19"/>
      <c r="J36" s="19"/>
      <c r="K36" s="19">
        <v>0</v>
      </c>
      <c r="L36" s="19">
        <v>5</v>
      </c>
      <c r="M36" s="19">
        <f t="shared" si="13"/>
        <v>5</v>
      </c>
      <c r="N36" s="35" t="s">
        <v>265</v>
      </c>
      <c r="O36" s="36" t="s">
        <v>266</v>
      </c>
      <c r="P36" s="161">
        <f t="shared" si="11"/>
        <v>222834040.00000003</v>
      </c>
      <c r="Q36" s="16"/>
    </row>
    <row r="37" spans="1:17" ht="15" customHeight="1" x14ac:dyDescent="0.3">
      <c r="A37" s="13"/>
      <c r="B37" s="14" t="s">
        <v>60</v>
      </c>
      <c r="C37" s="15" t="s">
        <v>55</v>
      </c>
      <c r="D37" s="26">
        <f>291.6+46.93</f>
        <v>338.53000000000003</v>
      </c>
      <c r="E37" s="50" t="s">
        <v>52</v>
      </c>
      <c r="F37" s="19">
        <v>0</v>
      </c>
      <c r="G37" s="26">
        <f>20%*D37</f>
        <v>67.706000000000003</v>
      </c>
      <c r="H37" s="26">
        <f t="shared" si="12"/>
        <v>67.706000000000003</v>
      </c>
      <c r="I37" s="19">
        <v>0</v>
      </c>
      <c r="J37" s="19">
        <v>0</v>
      </c>
      <c r="K37" s="19">
        <v>0</v>
      </c>
      <c r="L37" s="19">
        <v>0</v>
      </c>
      <c r="M37" s="19">
        <f t="shared" si="13"/>
        <v>0</v>
      </c>
      <c r="N37" s="35"/>
      <c r="O37" s="36" t="s">
        <v>267</v>
      </c>
      <c r="P37" s="161">
        <f t="shared" si="11"/>
        <v>57387605.600000001</v>
      </c>
      <c r="Q37" s="16"/>
    </row>
    <row r="38" spans="1:17" ht="18.75" customHeight="1" x14ac:dyDescent="0.3">
      <c r="A38" s="13"/>
      <c r="B38" s="14"/>
      <c r="C38" s="15"/>
      <c r="D38" s="26"/>
      <c r="E38" s="47" t="s">
        <v>235</v>
      </c>
      <c r="F38" s="26">
        <f>4%*D37</f>
        <v>13.541200000000002</v>
      </c>
      <c r="G38" s="26">
        <f>10%*D37</f>
        <v>33.853000000000002</v>
      </c>
      <c r="H38" s="26">
        <f>SUM(F38:G38)</f>
        <v>47.394200000000005</v>
      </c>
      <c r="I38" s="19"/>
      <c r="J38" s="19"/>
      <c r="K38" s="19"/>
      <c r="L38" s="19">
        <v>5</v>
      </c>
      <c r="M38" s="19">
        <f>SUM(I38:L38)</f>
        <v>5</v>
      </c>
      <c r="N38" s="35"/>
      <c r="O38" s="36" t="s">
        <v>268</v>
      </c>
      <c r="P38" s="161">
        <f t="shared" si="11"/>
        <v>28693802.800000001</v>
      </c>
      <c r="Q38" s="16"/>
    </row>
    <row r="39" spans="1:17" ht="15" customHeight="1" x14ac:dyDescent="0.3">
      <c r="A39" s="13"/>
      <c r="B39" s="14"/>
      <c r="C39" s="15"/>
      <c r="D39" s="26"/>
      <c r="E39" s="47" t="s">
        <v>234</v>
      </c>
      <c r="F39" s="26"/>
      <c r="G39" s="26">
        <f>15%*D37</f>
        <v>50.779500000000006</v>
      </c>
      <c r="H39" s="26">
        <f>F39+G39</f>
        <v>50.779500000000006</v>
      </c>
      <c r="I39" s="19"/>
      <c r="J39" s="19"/>
      <c r="K39" s="19"/>
      <c r="L39" s="19"/>
      <c r="M39" s="19"/>
      <c r="N39" s="35"/>
      <c r="O39" s="36" t="s">
        <v>269</v>
      </c>
      <c r="P39" s="161">
        <f t="shared" si="11"/>
        <v>43040704.20000001</v>
      </c>
      <c r="Q39" s="16"/>
    </row>
    <row r="40" spans="1:17" ht="14.25" customHeight="1" x14ac:dyDescent="0.3">
      <c r="A40" s="13"/>
      <c r="B40" s="14" t="s">
        <v>61</v>
      </c>
      <c r="C40" s="15" t="s">
        <v>27</v>
      </c>
      <c r="D40" s="26">
        <f>831.5+161.25</f>
        <v>992.75</v>
      </c>
      <c r="E40" s="50" t="s">
        <v>52</v>
      </c>
      <c r="F40" s="19">
        <v>0</v>
      </c>
      <c r="G40" s="26">
        <f>30%*D40</f>
        <v>297.82499999999999</v>
      </c>
      <c r="H40" s="26">
        <f t="shared" si="12"/>
        <v>297.82499999999999</v>
      </c>
      <c r="I40" s="19">
        <v>0</v>
      </c>
      <c r="J40" s="19">
        <v>0</v>
      </c>
      <c r="K40" s="19">
        <v>0</v>
      </c>
      <c r="L40" s="19">
        <v>7</v>
      </c>
      <c r="M40" s="19">
        <f t="shared" si="13"/>
        <v>7</v>
      </c>
      <c r="N40" s="35"/>
      <c r="O40" s="36" t="s">
        <v>270</v>
      </c>
      <c r="P40" s="161">
        <f t="shared" si="11"/>
        <v>252436470</v>
      </c>
      <c r="Q40" s="16"/>
    </row>
    <row r="41" spans="1:17" ht="15" customHeight="1" x14ac:dyDescent="0.3">
      <c r="A41" s="13"/>
      <c r="B41" s="14" t="s">
        <v>62</v>
      </c>
      <c r="C41" s="15" t="s">
        <v>28</v>
      </c>
      <c r="D41" s="26">
        <f>868+618.6</f>
        <v>1486.6</v>
      </c>
      <c r="E41" s="50" t="s">
        <v>52</v>
      </c>
      <c r="F41" s="19">
        <v>0</v>
      </c>
      <c r="G41" s="26">
        <f>20%*D41</f>
        <v>297.32</v>
      </c>
      <c r="H41" s="26">
        <f t="shared" si="12"/>
        <v>297.32</v>
      </c>
      <c r="I41" s="19">
        <v>0</v>
      </c>
      <c r="J41" s="19">
        <v>0</v>
      </c>
      <c r="K41" s="19">
        <v>5</v>
      </c>
      <c r="L41" s="19">
        <v>5</v>
      </c>
      <c r="M41" s="19">
        <f t="shared" si="13"/>
        <v>10</v>
      </c>
      <c r="N41" s="35"/>
      <c r="O41" s="36"/>
      <c r="P41" s="161">
        <f t="shared" si="11"/>
        <v>252008431.99999997</v>
      </c>
      <c r="Q41" s="16"/>
    </row>
    <row r="42" spans="1:17" ht="15" customHeight="1" x14ac:dyDescent="0.3">
      <c r="A42" s="13"/>
      <c r="B42" s="14" t="s">
        <v>63</v>
      </c>
      <c r="C42" s="15" t="s">
        <v>29</v>
      </c>
      <c r="D42" s="26">
        <f>1546+278.5</f>
        <v>1824.5</v>
      </c>
      <c r="E42" s="50" t="s">
        <v>52</v>
      </c>
      <c r="F42" s="19">
        <v>0</v>
      </c>
      <c r="G42" s="26">
        <f>21%*D42</f>
        <v>383.14499999999998</v>
      </c>
      <c r="H42" s="26">
        <f t="shared" si="12"/>
        <v>383.14499999999998</v>
      </c>
      <c r="I42" s="19">
        <v>0</v>
      </c>
      <c r="J42" s="19">
        <v>0</v>
      </c>
      <c r="K42" s="19">
        <v>0</v>
      </c>
      <c r="L42" s="19">
        <v>0</v>
      </c>
      <c r="M42" s="19">
        <f t="shared" si="13"/>
        <v>0</v>
      </c>
      <c r="N42" s="35"/>
      <c r="O42" s="36"/>
      <c r="P42" s="161">
        <f t="shared" si="11"/>
        <v>324753702</v>
      </c>
      <c r="Q42" s="16"/>
    </row>
    <row r="43" spans="1:17" ht="14.25" customHeight="1" x14ac:dyDescent="0.3">
      <c r="A43" s="13"/>
      <c r="B43" s="14" t="s">
        <v>64</v>
      </c>
      <c r="C43" s="15" t="s">
        <v>56</v>
      </c>
      <c r="D43" s="26">
        <f>156.4+34.9</f>
        <v>191.3</v>
      </c>
      <c r="E43" s="50" t="s">
        <v>52</v>
      </c>
      <c r="F43" s="19">
        <v>0</v>
      </c>
      <c r="G43" s="26">
        <f>10%*D43</f>
        <v>19.130000000000003</v>
      </c>
      <c r="H43" s="26">
        <f t="shared" si="12"/>
        <v>19.130000000000003</v>
      </c>
      <c r="I43" s="19">
        <v>0</v>
      </c>
      <c r="J43" s="19"/>
      <c r="K43" s="19"/>
      <c r="L43" s="19">
        <v>0</v>
      </c>
      <c r="M43" s="19">
        <f t="shared" si="13"/>
        <v>0</v>
      </c>
      <c r="N43" s="35"/>
      <c r="O43" s="36"/>
      <c r="P43" s="161">
        <f t="shared" si="11"/>
        <v>16214588.000000002</v>
      </c>
      <c r="Q43" s="16"/>
    </row>
    <row r="44" spans="1:17" ht="15" customHeight="1" x14ac:dyDescent="0.3">
      <c r="A44" s="13"/>
      <c r="B44" s="14" t="s">
        <v>65</v>
      </c>
      <c r="C44" s="15" t="s">
        <v>30</v>
      </c>
      <c r="D44" s="26">
        <f>1499.7+565.1</f>
        <v>2064.8000000000002</v>
      </c>
      <c r="E44" s="50" t="s">
        <v>52</v>
      </c>
      <c r="F44" s="19">
        <v>0</v>
      </c>
      <c r="G44" s="26">
        <f>10%*D44</f>
        <v>206.48000000000002</v>
      </c>
      <c r="H44" s="26">
        <f t="shared" si="12"/>
        <v>206.48000000000002</v>
      </c>
      <c r="I44" s="19">
        <v>0</v>
      </c>
      <c r="J44" s="19">
        <v>0</v>
      </c>
      <c r="K44" s="19">
        <v>0</v>
      </c>
      <c r="L44" s="19">
        <v>0</v>
      </c>
      <c r="M44" s="19">
        <f t="shared" si="13"/>
        <v>0</v>
      </c>
      <c r="N44" s="35"/>
      <c r="O44" s="36"/>
      <c r="P44" s="161">
        <f t="shared" si="11"/>
        <v>175012448</v>
      </c>
      <c r="Q44" s="16"/>
    </row>
    <row r="45" spans="1:17" ht="14.25" customHeight="1" x14ac:dyDescent="0.3">
      <c r="A45" s="13"/>
      <c r="B45" s="14" t="s">
        <v>66</v>
      </c>
      <c r="C45" s="15" t="s">
        <v>31</v>
      </c>
      <c r="D45" s="26">
        <f>1207+389</f>
        <v>1596</v>
      </c>
      <c r="E45" s="50" t="s">
        <v>52</v>
      </c>
      <c r="F45" s="19">
        <v>0</v>
      </c>
      <c r="G45" s="26">
        <f>10%*D45</f>
        <v>159.60000000000002</v>
      </c>
      <c r="H45" s="26">
        <f t="shared" si="12"/>
        <v>159.60000000000002</v>
      </c>
      <c r="I45" s="19">
        <v>0</v>
      </c>
      <c r="J45" s="19">
        <v>0</v>
      </c>
      <c r="K45" s="19">
        <v>0</v>
      </c>
      <c r="L45" s="19">
        <v>0</v>
      </c>
      <c r="M45" s="19">
        <f t="shared" si="13"/>
        <v>0</v>
      </c>
      <c r="N45" s="35"/>
      <c r="O45" s="36"/>
      <c r="P45" s="161">
        <f t="shared" si="11"/>
        <v>135276960.00000003</v>
      </c>
      <c r="Q45" s="16"/>
    </row>
    <row r="46" spans="1:17" ht="13.5" customHeight="1" x14ac:dyDescent="0.3">
      <c r="A46" s="13"/>
      <c r="B46" s="14" t="s">
        <v>67</v>
      </c>
      <c r="C46" s="15" t="s">
        <v>32</v>
      </c>
      <c r="D46" s="26">
        <f>998.9+79.5</f>
        <v>1078.4000000000001</v>
      </c>
      <c r="E46" s="50" t="s">
        <v>52</v>
      </c>
      <c r="F46" s="19">
        <v>0</v>
      </c>
      <c r="G46" s="26">
        <f>10%*D46</f>
        <v>107.84000000000002</v>
      </c>
      <c r="H46" s="26">
        <f t="shared" si="12"/>
        <v>107.84000000000002</v>
      </c>
      <c r="I46" s="19">
        <v>0</v>
      </c>
      <c r="J46" s="19">
        <v>0</v>
      </c>
      <c r="K46" s="19">
        <v>0</v>
      </c>
      <c r="L46" s="19">
        <v>0</v>
      </c>
      <c r="M46" s="19">
        <f t="shared" si="13"/>
        <v>0</v>
      </c>
      <c r="N46" s="35"/>
      <c r="O46" s="36"/>
      <c r="P46" s="161">
        <f t="shared" si="11"/>
        <v>91405184.000000015</v>
      </c>
      <c r="Q46" s="16"/>
    </row>
    <row r="47" spans="1:17" ht="15.75" customHeight="1" x14ac:dyDescent="0.3">
      <c r="A47" s="13"/>
      <c r="B47" s="14" t="s">
        <v>68</v>
      </c>
      <c r="C47" s="15" t="s">
        <v>33</v>
      </c>
      <c r="D47" s="26">
        <f>1304+57.5</f>
        <v>1361.5</v>
      </c>
      <c r="E47" s="50" t="s">
        <v>52</v>
      </c>
      <c r="F47" s="19">
        <v>0</v>
      </c>
      <c r="G47" s="26">
        <f>10%*D47</f>
        <v>136.15</v>
      </c>
      <c r="H47" s="26">
        <f t="shared" si="12"/>
        <v>136.15</v>
      </c>
      <c r="I47" s="19">
        <v>0</v>
      </c>
      <c r="J47" s="19"/>
      <c r="K47" s="19">
        <v>0</v>
      </c>
      <c r="L47" s="19">
        <v>0</v>
      </c>
      <c r="M47" s="19">
        <f t="shared" si="13"/>
        <v>0</v>
      </c>
      <c r="N47" s="35"/>
      <c r="O47" s="36"/>
      <c r="P47" s="161">
        <f t="shared" si="11"/>
        <v>115400740</v>
      </c>
      <c r="Q47" s="16"/>
    </row>
    <row r="48" spans="1:17" ht="14.25" customHeight="1" x14ac:dyDescent="0.3">
      <c r="A48" s="13"/>
      <c r="B48" s="14" t="s">
        <v>69</v>
      </c>
      <c r="C48" s="15" t="s">
        <v>34</v>
      </c>
      <c r="D48" s="26">
        <f>1784.1+362</f>
        <v>2146.1</v>
      </c>
      <c r="E48" s="50" t="s">
        <v>52</v>
      </c>
      <c r="F48" s="19">
        <v>0</v>
      </c>
      <c r="G48" s="26">
        <f>20%*D48</f>
        <v>429.22</v>
      </c>
      <c r="H48" s="26">
        <f t="shared" si="12"/>
        <v>429.22</v>
      </c>
      <c r="I48" s="19">
        <v>0</v>
      </c>
      <c r="J48" s="19"/>
      <c r="K48" s="19"/>
      <c r="L48" s="19">
        <v>6</v>
      </c>
      <c r="M48" s="19">
        <f t="shared" si="13"/>
        <v>6</v>
      </c>
      <c r="N48" s="35"/>
      <c r="O48" s="36"/>
      <c r="P48" s="161">
        <f t="shared" si="11"/>
        <v>363806872</v>
      </c>
      <c r="Q48" s="16"/>
    </row>
    <row r="49" spans="1:17" ht="13.5" customHeight="1" x14ac:dyDescent="0.3">
      <c r="A49" s="13"/>
      <c r="B49" s="14" t="s">
        <v>70</v>
      </c>
      <c r="C49" s="15" t="s">
        <v>35</v>
      </c>
      <c r="D49" s="26">
        <f>1557+181.5</f>
        <v>1738.5</v>
      </c>
      <c r="E49" s="50" t="s">
        <v>52</v>
      </c>
      <c r="F49" s="19">
        <v>0</v>
      </c>
      <c r="G49" s="26">
        <f>15%*D49</f>
        <v>260.77499999999998</v>
      </c>
      <c r="H49" s="26">
        <f t="shared" si="12"/>
        <v>260.77499999999998</v>
      </c>
      <c r="I49" s="19">
        <v>0</v>
      </c>
      <c r="J49" s="19">
        <v>0</v>
      </c>
      <c r="K49" s="19">
        <v>0</v>
      </c>
      <c r="L49" s="19">
        <v>0</v>
      </c>
      <c r="M49" s="19">
        <f t="shared" si="13"/>
        <v>0</v>
      </c>
      <c r="N49" s="35"/>
      <c r="O49" s="36"/>
      <c r="P49" s="161">
        <f t="shared" si="11"/>
        <v>221032889.99999997</v>
      </c>
      <c r="Q49" s="16"/>
    </row>
    <row r="50" spans="1:17" ht="18.75" customHeight="1" x14ac:dyDescent="0.3">
      <c r="A50" s="13"/>
      <c r="B50" s="14" t="s">
        <v>71</v>
      </c>
      <c r="C50" s="15" t="s">
        <v>21</v>
      </c>
      <c r="D50" s="26">
        <f>1940+114</f>
        <v>2054</v>
      </c>
      <c r="E50" s="50" t="s">
        <v>52</v>
      </c>
      <c r="F50" s="19">
        <v>0</v>
      </c>
      <c r="G50" s="26">
        <f>20%*D50</f>
        <v>410.8</v>
      </c>
      <c r="H50" s="26">
        <f t="shared" si="12"/>
        <v>410.8</v>
      </c>
      <c r="I50" s="19">
        <v>0</v>
      </c>
      <c r="J50" s="19">
        <v>0</v>
      </c>
      <c r="K50" s="19">
        <v>0</v>
      </c>
      <c r="L50" s="19">
        <v>0</v>
      </c>
      <c r="M50" s="19">
        <f t="shared" si="13"/>
        <v>0</v>
      </c>
      <c r="N50" s="35"/>
      <c r="O50" s="36"/>
      <c r="P50" s="161">
        <f t="shared" si="11"/>
        <v>348194080</v>
      </c>
      <c r="Q50" s="16"/>
    </row>
    <row r="51" spans="1:17" ht="14.25" customHeight="1" x14ac:dyDescent="0.3">
      <c r="A51" s="13"/>
      <c r="B51" s="14" t="s">
        <v>72</v>
      </c>
      <c r="C51" s="15" t="s">
        <v>42</v>
      </c>
      <c r="D51" s="26">
        <f>773.1+303.8</f>
        <v>1076.9000000000001</v>
      </c>
      <c r="E51" s="50" t="s">
        <v>52</v>
      </c>
      <c r="F51" s="19">
        <v>0</v>
      </c>
      <c r="G51" s="26">
        <f>20%*D51</f>
        <v>215.38000000000002</v>
      </c>
      <c r="H51" s="26">
        <f t="shared" si="12"/>
        <v>215.38000000000002</v>
      </c>
      <c r="I51" s="19">
        <v>0</v>
      </c>
      <c r="J51" s="19">
        <v>0</v>
      </c>
      <c r="K51" s="19">
        <v>0</v>
      </c>
      <c r="L51" s="19">
        <v>4</v>
      </c>
      <c r="M51" s="19">
        <f t="shared" si="13"/>
        <v>4</v>
      </c>
      <c r="N51" s="35"/>
      <c r="O51" s="36"/>
      <c r="P51" s="161">
        <f t="shared" si="11"/>
        <v>182556088.00000003</v>
      </c>
      <c r="Q51" s="16"/>
    </row>
    <row r="52" spans="1:17" ht="18" customHeight="1" x14ac:dyDescent="0.3">
      <c r="A52" s="13"/>
      <c r="B52" s="14" t="s">
        <v>73</v>
      </c>
      <c r="C52" s="15" t="s">
        <v>105</v>
      </c>
      <c r="D52" s="26">
        <f>153.8+8.7</f>
        <v>162.5</v>
      </c>
      <c r="E52" s="50" t="s">
        <v>52</v>
      </c>
      <c r="F52" s="19">
        <v>0</v>
      </c>
      <c r="G52" s="26">
        <f>15%*D52</f>
        <v>24.375</v>
      </c>
      <c r="H52" s="26">
        <f t="shared" si="12"/>
        <v>24.375</v>
      </c>
      <c r="I52" s="19">
        <v>0</v>
      </c>
      <c r="J52" s="19">
        <v>0</v>
      </c>
      <c r="K52" s="19">
        <v>0</v>
      </c>
      <c r="L52" s="19">
        <v>4</v>
      </c>
      <c r="M52" s="19">
        <f t="shared" si="13"/>
        <v>4</v>
      </c>
      <c r="N52" s="35"/>
      <c r="O52" s="36"/>
      <c r="P52" s="161">
        <f t="shared" si="11"/>
        <v>20660249.999999996</v>
      </c>
      <c r="Q52" s="16"/>
    </row>
    <row r="53" spans="1:17" ht="16.5" customHeight="1" x14ac:dyDescent="0.3">
      <c r="A53" s="13"/>
      <c r="B53" s="14" t="s">
        <v>74</v>
      </c>
      <c r="C53" s="15" t="s">
        <v>110</v>
      </c>
      <c r="D53" s="26">
        <f>695+48.2</f>
        <v>743.2</v>
      </c>
      <c r="E53" s="50" t="s">
        <v>52</v>
      </c>
      <c r="F53" s="19">
        <v>0</v>
      </c>
      <c r="G53" s="26">
        <f>10%*D53</f>
        <v>74.320000000000007</v>
      </c>
      <c r="H53" s="26">
        <f t="shared" si="12"/>
        <v>74.320000000000007</v>
      </c>
      <c r="I53" s="19">
        <v>0</v>
      </c>
      <c r="J53" s="19">
        <v>0</v>
      </c>
      <c r="K53" s="19">
        <v>0</v>
      </c>
      <c r="L53" s="19">
        <v>0</v>
      </c>
      <c r="M53" s="19">
        <f t="shared" si="13"/>
        <v>0</v>
      </c>
      <c r="N53" s="35"/>
      <c r="O53" s="36"/>
      <c r="P53" s="161">
        <f t="shared" si="11"/>
        <v>62993632.000000007</v>
      </c>
      <c r="Q53" s="16"/>
    </row>
    <row r="54" spans="1:17" ht="15.75" customHeight="1" x14ac:dyDescent="0.3">
      <c r="A54" s="13"/>
      <c r="B54" s="14" t="s">
        <v>75</v>
      </c>
      <c r="C54" s="15" t="s">
        <v>112</v>
      </c>
      <c r="D54" s="26">
        <f>375+14</f>
        <v>389</v>
      </c>
      <c r="E54" s="50" t="s">
        <v>52</v>
      </c>
      <c r="F54" s="19">
        <v>0</v>
      </c>
      <c r="G54" s="26">
        <f>15%*D54</f>
        <v>58.349999999999994</v>
      </c>
      <c r="H54" s="26">
        <f t="shared" si="12"/>
        <v>58.349999999999994</v>
      </c>
      <c r="I54" s="19">
        <v>0</v>
      </c>
      <c r="J54" s="19">
        <v>0</v>
      </c>
      <c r="K54" s="19">
        <v>0</v>
      </c>
      <c r="L54" s="19">
        <v>0</v>
      </c>
      <c r="M54" s="19">
        <f t="shared" si="13"/>
        <v>0</v>
      </c>
      <c r="N54" s="35"/>
      <c r="O54" s="36"/>
      <c r="P54" s="161">
        <f t="shared" si="11"/>
        <v>49457460</v>
      </c>
      <c r="Q54" s="16"/>
    </row>
    <row r="55" spans="1:17" ht="15.75" customHeight="1" x14ac:dyDescent="0.3">
      <c r="A55" s="13"/>
      <c r="B55" s="14" t="s">
        <v>104</v>
      </c>
      <c r="C55" s="15" t="s">
        <v>114</v>
      </c>
      <c r="D55" s="26">
        <f>73.5</f>
        <v>73.5</v>
      </c>
      <c r="E55" s="50" t="s">
        <v>52</v>
      </c>
      <c r="F55" s="19">
        <v>0</v>
      </c>
      <c r="G55" s="26">
        <f>10%*D55</f>
        <v>7.3500000000000005</v>
      </c>
      <c r="H55" s="26">
        <f t="shared" si="12"/>
        <v>7.3500000000000005</v>
      </c>
      <c r="I55" s="19">
        <v>0</v>
      </c>
      <c r="J55" s="19">
        <v>0</v>
      </c>
      <c r="K55" s="19">
        <v>0</v>
      </c>
      <c r="L55" s="19">
        <v>0</v>
      </c>
      <c r="M55" s="19">
        <f t="shared" si="13"/>
        <v>0</v>
      </c>
      <c r="N55" s="35"/>
      <c r="O55" s="36"/>
      <c r="P55" s="161">
        <f t="shared" si="11"/>
        <v>6229859.9999999991</v>
      </c>
      <c r="Q55" s="16"/>
    </row>
    <row r="56" spans="1:17" ht="14.25" customHeight="1" x14ac:dyDescent="0.3">
      <c r="A56" s="13"/>
      <c r="B56" s="14" t="s">
        <v>106</v>
      </c>
      <c r="C56" s="15" t="s">
        <v>22</v>
      </c>
      <c r="D56" s="26">
        <f>1130+101</f>
        <v>1231</v>
      </c>
      <c r="E56" s="50" t="s">
        <v>52</v>
      </c>
      <c r="F56" s="19">
        <v>0</v>
      </c>
      <c r="G56" s="26">
        <f>10%*D56</f>
        <v>123.10000000000001</v>
      </c>
      <c r="H56" s="26">
        <f t="shared" si="12"/>
        <v>123.10000000000001</v>
      </c>
      <c r="I56" s="19">
        <v>0</v>
      </c>
      <c r="J56" s="19">
        <v>0</v>
      </c>
      <c r="K56" s="19">
        <v>4</v>
      </c>
      <c r="L56" s="19">
        <v>0</v>
      </c>
      <c r="M56" s="19">
        <f t="shared" si="13"/>
        <v>4</v>
      </c>
      <c r="N56" s="35"/>
      <c r="O56" s="36"/>
      <c r="P56" s="161">
        <f t="shared" si="11"/>
        <v>104339560</v>
      </c>
      <c r="Q56" s="16"/>
    </row>
    <row r="57" spans="1:17" ht="15" customHeight="1" x14ac:dyDescent="0.3">
      <c r="A57" s="13"/>
      <c r="B57" s="14" t="s">
        <v>108</v>
      </c>
      <c r="C57" s="15" t="s">
        <v>180</v>
      </c>
      <c r="D57" s="26">
        <f>134.8+5</f>
        <v>139.80000000000001</v>
      </c>
      <c r="E57" s="47" t="s">
        <v>52</v>
      </c>
      <c r="F57" s="19">
        <v>0</v>
      </c>
      <c r="G57" s="26">
        <f>10%*D57</f>
        <v>13.980000000000002</v>
      </c>
      <c r="H57" s="26">
        <f t="shared" si="12"/>
        <v>13.980000000000002</v>
      </c>
      <c r="I57" s="19">
        <v>0</v>
      </c>
      <c r="J57" s="19">
        <v>0</v>
      </c>
      <c r="K57" s="19">
        <v>0</v>
      </c>
      <c r="L57" s="19">
        <v>0</v>
      </c>
      <c r="M57" s="19">
        <f t="shared" si="13"/>
        <v>0</v>
      </c>
      <c r="N57" s="35"/>
      <c r="O57" s="36"/>
      <c r="P57" s="161">
        <f t="shared" si="11"/>
        <v>11849448</v>
      </c>
      <c r="Q57" s="16"/>
    </row>
    <row r="58" spans="1:17" ht="16.5" customHeight="1" x14ac:dyDescent="0.3">
      <c r="A58" s="13"/>
      <c r="B58" s="14" t="s">
        <v>109</v>
      </c>
      <c r="C58" s="15" t="s">
        <v>43</v>
      </c>
      <c r="D58" s="26">
        <f>1189+216.6</f>
        <v>1405.6</v>
      </c>
      <c r="E58" s="50" t="s">
        <v>52</v>
      </c>
      <c r="F58" s="19">
        <v>0</v>
      </c>
      <c r="G58" s="26">
        <f>25%*D58</f>
        <v>351.4</v>
      </c>
      <c r="H58" s="26">
        <f t="shared" si="12"/>
        <v>351.4</v>
      </c>
      <c r="I58" s="19">
        <v>0</v>
      </c>
      <c r="J58" s="19">
        <v>0</v>
      </c>
      <c r="K58" s="19">
        <v>0</v>
      </c>
      <c r="L58" s="19">
        <v>0</v>
      </c>
      <c r="M58" s="19">
        <f t="shared" si="13"/>
        <v>0</v>
      </c>
      <c r="N58" s="35"/>
      <c r="O58" s="36"/>
      <c r="P58" s="161">
        <f t="shared" si="11"/>
        <v>297846640</v>
      </c>
      <c r="Q58" s="16"/>
    </row>
    <row r="59" spans="1:17" ht="14.25" customHeight="1" x14ac:dyDescent="0.3">
      <c r="A59" s="13"/>
      <c r="B59" s="55" t="s">
        <v>111</v>
      </c>
      <c r="C59" s="56" t="s">
        <v>44</v>
      </c>
      <c r="D59" s="57">
        <f>1396.6+127</f>
        <v>1523.6</v>
      </c>
      <c r="E59" s="78" t="s">
        <v>52</v>
      </c>
      <c r="F59" s="19">
        <v>0</v>
      </c>
      <c r="G59" s="26">
        <f>10%*D59</f>
        <v>152.35999999999999</v>
      </c>
      <c r="H59" s="26">
        <f t="shared" si="12"/>
        <v>152.35999999999999</v>
      </c>
      <c r="I59" s="19">
        <v>0</v>
      </c>
      <c r="J59" s="19">
        <v>0</v>
      </c>
      <c r="K59" s="19">
        <v>0</v>
      </c>
      <c r="L59" s="19">
        <v>10</v>
      </c>
      <c r="M59" s="19">
        <f t="shared" si="13"/>
        <v>10</v>
      </c>
      <c r="N59" s="35"/>
      <c r="O59" s="36"/>
      <c r="P59" s="161">
        <f t="shared" si="11"/>
        <v>129140335.99999999</v>
      </c>
      <c r="Q59" s="16"/>
    </row>
    <row r="60" spans="1:17" ht="14.25" customHeight="1" x14ac:dyDescent="0.3">
      <c r="A60" s="13"/>
      <c r="B60" s="14" t="s">
        <v>74</v>
      </c>
      <c r="C60" s="15" t="s">
        <v>43</v>
      </c>
      <c r="D60" s="26">
        <v>1189</v>
      </c>
      <c r="E60" s="50" t="s">
        <v>52</v>
      </c>
      <c r="F60" s="19">
        <v>0</v>
      </c>
      <c r="G60" s="26">
        <f>10%*D60</f>
        <v>118.9</v>
      </c>
      <c r="H60" s="26">
        <f t="shared" si="12"/>
        <v>118.9</v>
      </c>
      <c r="I60" s="19">
        <v>0</v>
      </c>
      <c r="J60" s="19"/>
      <c r="K60" s="19">
        <v>6</v>
      </c>
      <c r="L60" s="19">
        <v>5</v>
      </c>
      <c r="M60" s="19">
        <f t="shared" si="13"/>
        <v>11</v>
      </c>
      <c r="N60" s="35"/>
      <c r="O60" s="36"/>
      <c r="P60" s="161">
        <f t="shared" si="11"/>
        <v>100779640</v>
      </c>
      <c r="Q60" s="16"/>
    </row>
    <row r="61" spans="1:17" ht="18.75" customHeight="1" x14ac:dyDescent="0.3">
      <c r="A61" s="54"/>
      <c r="B61" s="55" t="s">
        <v>75</v>
      </c>
      <c r="C61" s="56" t="s">
        <v>44</v>
      </c>
      <c r="D61" s="57">
        <v>1391</v>
      </c>
      <c r="E61" s="78" t="s">
        <v>52</v>
      </c>
      <c r="F61" s="19">
        <v>0</v>
      </c>
      <c r="G61" s="26">
        <f>10%*D61</f>
        <v>139.1</v>
      </c>
      <c r="H61" s="26">
        <f t="shared" si="12"/>
        <v>139.1</v>
      </c>
      <c r="I61" s="19">
        <v>0</v>
      </c>
      <c r="J61" s="19"/>
      <c r="K61" s="19">
        <v>2</v>
      </c>
      <c r="L61" s="19">
        <v>9</v>
      </c>
      <c r="M61" s="19">
        <f t="shared" si="13"/>
        <v>11</v>
      </c>
      <c r="N61" s="35"/>
      <c r="O61" s="36"/>
      <c r="P61" s="161">
        <f t="shared" si="11"/>
        <v>117901159.99999999</v>
      </c>
      <c r="Q61" s="16"/>
    </row>
    <row r="62" spans="1:17" ht="14.25" customHeight="1" x14ac:dyDescent="0.3">
      <c r="A62" s="141"/>
      <c r="B62" s="117"/>
      <c r="C62" s="116"/>
      <c r="D62" s="109"/>
      <c r="E62" s="110" t="s">
        <v>223</v>
      </c>
      <c r="F62" s="90">
        <f>9%*D61</f>
        <v>125.19</v>
      </c>
      <c r="G62" s="90"/>
      <c r="H62" s="90">
        <f>SUM(F62:G62)</f>
        <v>125.19</v>
      </c>
      <c r="I62" s="19">
        <v>0</v>
      </c>
      <c r="J62" s="19">
        <v>0</v>
      </c>
      <c r="K62" s="19">
        <v>0</v>
      </c>
      <c r="L62" s="19">
        <v>9</v>
      </c>
      <c r="M62" s="19">
        <f t="shared" si="13"/>
        <v>9</v>
      </c>
      <c r="N62" s="80"/>
      <c r="O62" s="81"/>
      <c r="P62" s="161">
        <f t="shared" si="11"/>
        <v>0</v>
      </c>
      <c r="Q62" s="87"/>
    </row>
    <row r="63" spans="1:17" ht="25.5" customHeight="1" x14ac:dyDescent="0.3">
      <c r="A63" s="89"/>
      <c r="B63" s="72" t="s">
        <v>347</v>
      </c>
      <c r="C63" s="72"/>
      <c r="D63" s="84">
        <f>SUM(D33:D61)</f>
        <v>30736.879999999997</v>
      </c>
      <c r="E63" s="74"/>
      <c r="F63" s="83">
        <f>SUM(F40:F62)</f>
        <v>125.19</v>
      </c>
      <c r="G63" s="83">
        <f>SUM(G33:G62)</f>
        <v>5445.7034999999996</v>
      </c>
      <c r="H63" s="83">
        <f>SUM(H33:H62)</f>
        <v>5584.4346999999998</v>
      </c>
      <c r="I63" s="83">
        <f>SUM(I33:I62)</f>
        <v>0</v>
      </c>
      <c r="J63" s="83">
        <f>SUM(J33:J61)</f>
        <v>0</v>
      </c>
      <c r="K63" s="83">
        <f>SUM(K33:K61)</f>
        <v>27</v>
      </c>
      <c r="L63" s="83">
        <f>SUM(L33:L62)</f>
        <v>75</v>
      </c>
      <c r="M63" s="83">
        <f>SUM(M33:M61)</f>
        <v>93</v>
      </c>
      <c r="N63" s="76"/>
      <c r="O63" s="77"/>
      <c r="P63" s="162">
        <f>SUM(P33:P62)</f>
        <v>4615778286.5999994</v>
      </c>
      <c r="Q63" s="75"/>
    </row>
    <row r="64" spans="1:17" ht="18.75" customHeight="1" x14ac:dyDescent="0.3">
      <c r="A64" s="63">
        <v>4</v>
      </c>
      <c r="B64" s="64" t="s">
        <v>46</v>
      </c>
      <c r="C64" s="65"/>
      <c r="D64" s="66"/>
      <c r="E64" s="67"/>
      <c r="F64" s="82"/>
      <c r="G64" s="82"/>
      <c r="H64" s="82"/>
      <c r="I64" s="82"/>
      <c r="J64" s="82"/>
      <c r="K64" s="82"/>
      <c r="L64" s="82"/>
      <c r="M64" s="82"/>
      <c r="N64" s="69"/>
      <c r="O64" s="70"/>
      <c r="P64" s="70"/>
      <c r="Q64" s="68"/>
    </row>
    <row r="65" spans="1:17" ht="25.5" customHeight="1" x14ac:dyDescent="0.3">
      <c r="A65" s="102"/>
      <c r="B65" s="98" t="s">
        <v>57</v>
      </c>
      <c r="C65" s="99" t="s">
        <v>29</v>
      </c>
      <c r="D65" s="96">
        <v>175</v>
      </c>
      <c r="E65" s="101" t="s">
        <v>233</v>
      </c>
      <c r="F65" s="96"/>
      <c r="G65" s="96">
        <f>18%*D65</f>
        <v>31.5</v>
      </c>
      <c r="H65" s="96">
        <f>SUM(F65:G65)</f>
        <v>31.5</v>
      </c>
      <c r="I65" s="97">
        <v>0</v>
      </c>
      <c r="J65" s="97"/>
      <c r="K65" s="97">
        <v>0</v>
      </c>
      <c r="L65" s="97">
        <v>2</v>
      </c>
      <c r="M65" s="97">
        <f t="shared" ref="M65:M72" si="14">SUM(I65:L65)</f>
        <v>2</v>
      </c>
      <c r="N65" s="35" t="s">
        <v>51</v>
      </c>
      <c r="O65" s="36" t="s">
        <v>229</v>
      </c>
      <c r="P65" s="161">
        <f>G65*1.036*20%*5000000</f>
        <v>32634000.000000004</v>
      </c>
      <c r="Q65" s="16"/>
    </row>
    <row r="66" spans="1:17" ht="21.75" customHeight="1" x14ac:dyDescent="0.3">
      <c r="A66" s="13"/>
      <c r="B66" s="14" t="s">
        <v>58</v>
      </c>
      <c r="C66" s="15" t="s">
        <v>33</v>
      </c>
      <c r="D66" s="26">
        <v>368</v>
      </c>
      <c r="E66" s="47" t="s">
        <v>185</v>
      </c>
      <c r="F66" s="26">
        <f>0%*D66</f>
        <v>0</v>
      </c>
      <c r="G66" s="26">
        <f>18%*D66</f>
        <v>66.239999999999995</v>
      </c>
      <c r="H66" s="26">
        <f t="shared" ref="H66:H72" si="15">SUM(F66:G66)</f>
        <v>66.239999999999995</v>
      </c>
      <c r="I66" s="19">
        <v>0</v>
      </c>
      <c r="J66" s="19"/>
      <c r="K66" s="19">
        <v>0</v>
      </c>
      <c r="L66" s="19">
        <v>3</v>
      </c>
      <c r="M66" s="19">
        <f t="shared" si="14"/>
        <v>3</v>
      </c>
      <c r="N66" s="35" t="s">
        <v>51</v>
      </c>
      <c r="O66" s="36" t="s">
        <v>138</v>
      </c>
      <c r="P66" s="161">
        <f>G66*1.036*50%*5000000</f>
        <v>171561600</v>
      </c>
      <c r="Q66" s="16"/>
    </row>
    <row r="67" spans="1:17" ht="22.5" customHeight="1" x14ac:dyDescent="0.3">
      <c r="A67" s="13"/>
      <c r="B67" s="98" t="s">
        <v>59</v>
      </c>
      <c r="C67" s="99" t="s">
        <v>42</v>
      </c>
      <c r="D67" s="96">
        <v>774.98</v>
      </c>
      <c r="E67" s="101" t="s">
        <v>233</v>
      </c>
      <c r="F67" s="96">
        <f>0%*D67</f>
        <v>0</v>
      </c>
      <c r="G67" s="97">
        <f>13%*D67</f>
        <v>100.7474</v>
      </c>
      <c r="H67" s="96">
        <f t="shared" si="15"/>
        <v>100.7474</v>
      </c>
      <c r="I67" s="97">
        <v>0</v>
      </c>
      <c r="J67" s="97"/>
      <c r="K67" s="97">
        <v>0</v>
      </c>
      <c r="L67" s="97">
        <v>0</v>
      </c>
      <c r="M67" s="97">
        <f t="shared" si="14"/>
        <v>0</v>
      </c>
      <c r="N67" s="35"/>
      <c r="O67" s="36"/>
      <c r="P67" s="161">
        <f>G67*1.036*20%*5000000</f>
        <v>104374306.40000002</v>
      </c>
      <c r="Q67" s="16"/>
    </row>
    <row r="68" spans="1:17" ht="25.5" customHeight="1" x14ac:dyDescent="0.3">
      <c r="A68" s="13"/>
      <c r="B68" s="98" t="s">
        <v>60</v>
      </c>
      <c r="C68" s="99" t="s">
        <v>21</v>
      </c>
      <c r="D68" s="96">
        <v>942.55</v>
      </c>
      <c r="E68" s="101" t="s">
        <v>186</v>
      </c>
      <c r="F68" s="96">
        <f>1%*D68</f>
        <v>9.4254999999999995</v>
      </c>
      <c r="G68" s="97">
        <f>7%*D68</f>
        <v>65.978499999999997</v>
      </c>
      <c r="H68" s="96">
        <f t="shared" si="15"/>
        <v>75.403999999999996</v>
      </c>
      <c r="I68" s="97">
        <v>0</v>
      </c>
      <c r="J68" s="97"/>
      <c r="K68" s="97">
        <v>0</v>
      </c>
      <c r="L68" s="97">
        <v>0</v>
      </c>
      <c r="M68" s="97">
        <f t="shared" si="14"/>
        <v>0</v>
      </c>
      <c r="N68" s="35"/>
      <c r="O68" s="36"/>
      <c r="P68" s="161">
        <f>G68*1.036*20%*5000000</f>
        <v>68353726</v>
      </c>
      <c r="Q68" s="16"/>
    </row>
    <row r="69" spans="1:17" ht="22.5" customHeight="1" x14ac:dyDescent="0.3">
      <c r="A69" s="13"/>
      <c r="B69" s="98"/>
      <c r="C69" s="99"/>
      <c r="D69" s="96"/>
      <c r="E69" s="101" t="s">
        <v>233</v>
      </c>
      <c r="F69" s="96"/>
      <c r="G69" s="96">
        <f>7%*D68</f>
        <v>65.978499999999997</v>
      </c>
      <c r="H69" s="96">
        <f>SUM(F69:G69)</f>
        <v>65.978499999999997</v>
      </c>
      <c r="I69" s="19">
        <v>0</v>
      </c>
      <c r="J69" s="19">
        <v>0</v>
      </c>
      <c r="K69" s="19">
        <v>0</v>
      </c>
      <c r="L69" s="19">
        <v>0</v>
      </c>
      <c r="M69" s="19">
        <f t="shared" si="14"/>
        <v>0</v>
      </c>
      <c r="N69" s="35"/>
      <c r="O69" s="36"/>
      <c r="P69" s="161">
        <f>G69*1.036*20%*5000000</f>
        <v>68353726</v>
      </c>
      <c r="Q69" s="16"/>
    </row>
    <row r="70" spans="1:17" ht="24" customHeight="1" x14ac:dyDescent="0.3">
      <c r="A70" s="16"/>
      <c r="B70" s="14" t="s">
        <v>61</v>
      </c>
      <c r="C70" s="15" t="s">
        <v>22</v>
      </c>
      <c r="D70" s="26">
        <v>1233.55</v>
      </c>
      <c r="E70" s="101" t="s">
        <v>233</v>
      </c>
      <c r="F70" s="26">
        <f>0%*D70</f>
        <v>0</v>
      </c>
      <c r="G70" s="19">
        <f>7%*D70</f>
        <v>86.348500000000001</v>
      </c>
      <c r="H70" s="26">
        <f t="shared" si="15"/>
        <v>86.348500000000001</v>
      </c>
      <c r="I70" s="19">
        <v>0</v>
      </c>
      <c r="J70" s="19"/>
      <c r="K70" s="19">
        <v>0</v>
      </c>
      <c r="L70" s="19">
        <v>1</v>
      </c>
      <c r="M70" s="19">
        <f t="shared" si="14"/>
        <v>1</v>
      </c>
      <c r="N70" s="35"/>
      <c r="O70" s="36"/>
      <c r="P70" s="161">
        <f>G70*1.036*20%*5000000</f>
        <v>89457046.000000015</v>
      </c>
      <c r="Q70" s="16"/>
    </row>
    <row r="71" spans="1:17" ht="21" customHeight="1" x14ac:dyDescent="0.3">
      <c r="A71" s="87"/>
      <c r="B71" s="55" t="s">
        <v>62</v>
      </c>
      <c r="C71" s="56" t="s">
        <v>43</v>
      </c>
      <c r="D71" s="57">
        <v>133</v>
      </c>
      <c r="E71" s="101" t="s">
        <v>233</v>
      </c>
      <c r="F71" s="26">
        <f>0%*D71</f>
        <v>0</v>
      </c>
      <c r="G71" s="19">
        <f>4%*D71</f>
        <v>5.32</v>
      </c>
      <c r="H71" s="26">
        <f t="shared" si="15"/>
        <v>5.32</v>
      </c>
      <c r="I71" s="19">
        <v>0</v>
      </c>
      <c r="J71" s="19"/>
      <c r="K71" s="19">
        <v>0</v>
      </c>
      <c r="L71" s="19">
        <v>2</v>
      </c>
      <c r="M71" s="19">
        <f t="shared" si="14"/>
        <v>2</v>
      </c>
      <c r="N71" s="35"/>
      <c r="O71" s="36"/>
      <c r="P71" s="161">
        <f>G71*1.036*20%*5000000</f>
        <v>5511520.0000000009</v>
      </c>
      <c r="Q71" s="16"/>
    </row>
    <row r="72" spans="1:17" ht="27.75" customHeight="1" x14ac:dyDescent="0.3">
      <c r="A72" s="16"/>
      <c r="B72" s="14" t="s">
        <v>63</v>
      </c>
      <c r="C72" s="15" t="s">
        <v>32</v>
      </c>
      <c r="D72" s="26">
        <v>298.5</v>
      </c>
      <c r="E72" s="101" t="s">
        <v>236</v>
      </c>
      <c r="F72" s="26">
        <f>0%*D72</f>
        <v>0</v>
      </c>
      <c r="G72" s="19">
        <f>3%*D72</f>
        <v>8.9550000000000001</v>
      </c>
      <c r="H72" s="26">
        <f t="shared" si="15"/>
        <v>8.9550000000000001</v>
      </c>
      <c r="I72" s="135">
        <v>0</v>
      </c>
      <c r="J72" s="135"/>
      <c r="K72" s="135">
        <v>0</v>
      </c>
      <c r="L72" s="135">
        <v>5</v>
      </c>
      <c r="M72" s="135">
        <f t="shared" si="14"/>
        <v>5</v>
      </c>
      <c r="N72" s="80"/>
      <c r="O72" s="81"/>
      <c r="P72" s="161">
        <f t="shared" ref="P72" si="16">G72*1.036*20%*6000000</f>
        <v>11132856.000000002</v>
      </c>
      <c r="Q72" s="87"/>
    </row>
    <row r="73" spans="1:17" ht="18.75" customHeight="1" x14ac:dyDescent="0.3">
      <c r="A73" s="75"/>
      <c r="B73" s="72" t="s">
        <v>348</v>
      </c>
      <c r="C73" s="72"/>
      <c r="D73" s="73">
        <f>SUM(D65:D72)</f>
        <v>3925.58</v>
      </c>
      <c r="E73" s="74"/>
      <c r="F73" s="73">
        <f t="shared" ref="F73:K73" si="17">SUM(F65:F72)</f>
        <v>9.4254999999999995</v>
      </c>
      <c r="G73" s="83">
        <f t="shared" si="17"/>
        <v>431.06789999999995</v>
      </c>
      <c r="H73" s="73">
        <f t="shared" si="17"/>
        <v>440.49339999999995</v>
      </c>
      <c r="I73" s="83">
        <f t="shared" si="17"/>
        <v>0</v>
      </c>
      <c r="J73" s="83">
        <f t="shared" si="17"/>
        <v>0</v>
      </c>
      <c r="K73" s="83">
        <f t="shared" si="17"/>
        <v>0</v>
      </c>
      <c r="L73" s="83">
        <f>SUM(L64:L72)</f>
        <v>13</v>
      </c>
      <c r="M73" s="83">
        <f>SUM(M65:M72)</f>
        <v>13</v>
      </c>
      <c r="N73" s="76"/>
      <c r="O73" s="77"/>
      <c r="P73" s="162">
        <f>SUM(P65:P72)</f>
        <v>551378780.4000001</v>
      </c>
      <c r="Q73" s="75"/>
    </row>
    <row r="74" spans="1:17" ht="16.5" customHeight="1" x14ac:dyDescent="0.3">
      <c r="A74" s="63">
        <v>5</v>
      </c>
      <c r="B74" s="64" t="s">
        <v>96</v>
      </c>
      <c r="C74" s="65"/>
      <c r="D74" s="66"/>
      <c r="E74" s="67"/>
      <c r="F74" s="66"/>
      <c r="G74" s="66"/>
      <c r="H74" s="66"/>
      <c r="I74" s="82"/>
      <c r="J74" s="82"/>
      <c r="K74" s="82"/>
      <c r="L74" s="82"/>
      <c r="M74" s="82"/>
      <c r="N74" s="69"/>
      <c r="O74" s="70"/>
      <c r="P74" s="70"/>
      <c r="Q74" s="68"/>
    </row>
    <row r="75" spans="1:17" ht="16.5" customHeight="1" x14ac:dyDescent="0.3">
      <c r="A75" s="16"/>
      <c r="B75" s="14" t="s">
        <v>57</v>
      </c>
      <c r="C75" s="15" t="s">
        <v>22</v>
      </c>
      <c r="D75" s="26">
        <v>9.5</v>
      </c>
      <c r="E75" s="47" t="s">
        <v>163</v>
      </c>
      <c r="F75" s="26">
        <f>10%*D75</f>
        <v>0.95000000000000007</v>
      </c>
      <c r="G75" s="26">
        <v>1</v>
      </c>
      <c r="H75" s="26">
        <f t="shared" ref="H75:H83" si="18">SUM(F75:G75)</f>
        <v>1.9500000000000002</v>
      </c>
      <c r="I75" s="19">
        <v>0</v>
      </c>
      <c r="J75" s="19"/>
      <c r="K75" s="19">
        <v>0</v>
      </c>
      <c r="L75" s="19">
        <v>1</v>
      </c>
      <c r="M75" s="19">
        <f>SUM(I75:L75)</f>
        <v>1</v>
      </c>
      <c r="N75" s="35"/>
      <c r="O75" s="36"/>
      <c r="P75" s="161">
        <f t="shared" ref="P75:P83" si="19">G75*0.486*30%*40000000</f>
        <v>5831999.9999999991</v>
      </c>
      <c r="Q75" s="16"/>
    </row>
    <row r="76" spans="1:17" ht="17.25" customHeight="1" x14ac:dyDescent="0.3">
      <c r="A76" s="16"/>
      <c r="B76" s="14" t="s">
        <v>58</v>
      </c>
      <c r="C76" s="15" t="s">
        <v>21</v>
      </c>
      <c r="D76" s="26">
        <v>18.11</v>
      </c>
      <c r="E76" s="47" t="s">
        <v>164</v>
      </c>
      <c r="F76" s="26">
        <f>11%*D76</f>
        <v>1.9921</v>
      </c>
      <c r="G76" s="26">
        <f>10%*D76</f>
        <v>1.8109999999999999</v>
      </c>
      <c r="H76" s="26">
        <f t="shared" si="18"/>
        <v>3.8030999999999997</v>
      </c>
      <c r="I76" s="19">
        <v>0</v>
      </c>
      <c r="J76" s="19"/>
      <c r="K76" s="19">
        <v>1</v>
      </c>
      <c r="L76" s="19">
        <v>1</v>
      </c>
      <c r="M76" s="19">
        <f t="shared" ref="M76:M83" si="20">SUM(I76:L76)</f>
        <v>2</v>
      </c>
      <c r="N76" s="35"/>
      <c r="O76" s="36" t="s">
        <v>50</v>
      </c>
      <c r="P76" s="161">
        <f t="shared" si="19"/>
        <v>10561752</v>
      </c>
      <c r="Q76" s="16"/>
    </row>
    <row r="77" spans="1:17" ht="16.5" customHeight="1" x14ac:dyDescent="0.3">
      <c r="A77" s="16"/>
      <c r="B77" s="14"/>
      <c r="C77" s="15"/>
      <c r="D77" s="26"/>
      <c r="E77" s="49" t="s">
        <v>187</v>
      </c>
      <c r="F77" s="96">
        <f>12%*D76</f>
        <v>2.1732</v>
      </c>
      <c r="G77" s="96">
        <v>0</v>
      </c>
      <c r="H77" s="96">
        <f t="shared" si="18"/>
        <v>2.1732</v>
      </c>
      <c r="I77" s="97">
        <v>0</v>
      </c>
      <c r="J77" s="97">
        <v>0</v>
      </c>
      <c r="K77" s="97">
        <v>0</v>
      </c>
      <c r="L77" s="97">
        <v>0</v>
      </c>
      <c r="M77" s="97">
        <f t="shared" si="20"/>
        <v>0</v>
      </c>
      <c r="N77" s="35"/>
      <c r="O77" s="36"/>
      <c r="P77" s="161">
        <f t="shared" si="19"/>
        <v>0</v>
      </c>
      <c r="Q77" s="16"/>
    </row>
    <row r="78" spans="1:17" ht="16.5" customHeight="1" x14ac:dyDescent="0.3">
      <c r="A78" s="16"/>
      <c r="B78" s="14" t="s">
        <v>59</v>
      </c>
      <c r="C78" s="15" t="s">
        <v>43</v>
      </c>
      <c r="D78" s="26">
        <v>19.79</v>
      </c>
      <c r="E78" s="47" t="s">
        <v>164</v>
      </c>
      <c r="F78" s="26">
        <f>9%*D78</f>
        <v>1.7810999999999999</v>
      </c>
      <c r="G78" s="26">
        <v>0</v>
      </c>
      <c r="H78" s="26">
        <f t="shared" si="18"/>
        <v>1.7810999999999999</v>
      </c>
      <c r="I78" s="19">
        <v>0</v>
      </c>
      <c r="J78" s="19"/>
      <c r="K78" s="19">
        <v>1</v>
      </c>
      <c r="L78" s="19">
        <v>0</v>
      </c>
      <c r="M78" s="19">
        <f t="shared" si="20"/>
        <v>1</v>
      </c>
      <c r="N78" s="35"/>
      <c r="O78" s="36" t="s">
        <v>137</v>
      </c>
      <c r="P78" s="161">
        <f t="shared" si="19"/>
        <v>0</v>
      </c>
      <c r="Q78" s="16"/>
    </row>
    <row r="79" spans="1:17" ht="17.25" customHeight="1" x14ac:dyDescent="0.3">
      <c r="A79" s="16"/>
      <c r="B79" s="14" t="s">
        <v>60</v>
      </c>
      <c r="C79" s="15" t="s">
        <v>44</v>
      </c>
      <c r="D79" s="26">
        <v>30.5</v>
      </c>
      <c r="E79" s="47" t="s">
        <v>164</v>
      </c>
      <c r="F79" s="26">
        <f>9%*D79</f>
        <v>2.7450000000000001</v>
      </c>
      <c r="G79" s="26">
        <v>0</v>
      </c>
      <c r="H79" s="26">
        <f t="shared" si="18"/>
        <v>2.7450000000000001</v>
      </c>
      <c r="I79" s="19">
        <v>0</v>
      </c>
      <c r="J79" s="19">
        <v>0</v>
      </c>
      <c r="K79" s="19">
        <v>0</v>
      </c>
      <c r="L79" s="19">
        <v>0</v>
      </c>
      <c r="M79" s="19">
        <f t="shared" si="20"/>
        <v>0</v>
      </c>
      <c r="N79" s="35"/>
      <c r="O79" s="36" t="s">
        <v>145</v>
      </c>
      <c r="P79" s="161">
        <f t="shared" si="19"/>
        <v>0</v>
      </c>
      <c r="Q79" s="16"/>
    </row>
    <row r="80" spans="1:17" ht="15.75" customHeight="1" x14ac:dyDescent="0.3">
      <c r="A80" s="16"/>
      <c r="B80" s="14" t="s">
        <v>61</v>
      </c>
      <c r="C80" s="15" t="s">
        <v>33</v>
      </c>
      <c r="D80" s="26">
        <v>8.3000000000000007</v>
      </c>
      <c r="E80" s="47" t="s">
        <v>164</v>
      </c>
      <c r="F80" s="26">
        <f>9%*D80</f>
        <v>0.747</v>
      </c>
      <c r="G80" s="26">
        <v>0</v>
      </c>
      <c r="H80" s="26">
        <f t="shared" si="18"/>
        <v>0.747</v>
      </c>
      <c r="I80" s="19">
        <v>0</v>
      </c>
      <c r="J80" s="19">
        <v>0</v>
      </c>
      <c r="K80" s="19">
        <v>0</v>
      </c>
      <c r="L80" s="19">
        <v>0</v>
      </c>
      <c r="M80" s="19">
        <f t="shared" si="20"/>
        <v>0</v>
      </c>
      <c r="N80" s="35"/>
      <c r="O80" s="36" t="s">
        <v>146</v>
      </c>
      <c r="P80" s="161">
        <f t="shared" si="19"/>
        <v>0</v>
      </c>
      <c r="Q80" s="16"/>
    </row>
    <row r="81" spans="1:20" ht="17.25" customHeight="1" x14ac:dyDescent="0.3">
      <c r="A81" s="16"/>
      <c r="B81" s="14" t="s">
        <v>62</v>
      </c>
      <c r="C81" s="15" t="s">
        <v>32</v>
      </c>
      <c r="D81" s="26">
        <v>1.25</v>
      </c>
      <c r="E81" s="47" t="s">
        <v>164</v>
      </c>
      <c r="F81" s="26">
        <f>1%*D81</f>
        <v>1.2500000000000001E-2</v>
      </c>
      <c r="G81" s="26">
        <v>0</v>
      </c>
      <c r="H81" s="26">
        <f t="shared" si="18"/>
        <v>1.2500000000000001E-2</v>
      </c>
      <c r="I81" s="19">
        <v>0</v>
      </c>
      <c r="J81" s="19">
        <v>0</v>
      </c>
      <c r="K81" s="19">
        <v>0</v>
      </c>
      <c r="L81" s="19">
        <v>0</v>
      </c>
      <c r="M81" s="19">
        <f t="shared" si="20"/>
        <v>0</v>
      </c>
      <c r="N81" s="35"/>
      <c r="O81" s="36"/>
      <c r="P81" s="161">
        <f t="shared" si="19"/>
        <v>0</v>
      </c>
      <c r="Q81" s="16"/>
    </row>
    <row r="82" spans="1:20" ht="16.5" customHeight="1" x14ac:dyDescent="0.3">
      <c r="A82" s="16"/>
      <c r="B82" s="14">
        <v>9</v>
      </c>
      <c r="C82" s="15" t="s">
        <v>30</v>
      </c>
      <c r="D82" s="26">
        <v>9.5</v>
      </c>
      <c r="E82" s="47" t="s">
        <v>164</v>
      </c>
      <c r="F82" s="26">
        <f>11%*D82</f>
        <v>1.0449999999999999</v>
      </c>
      <c r="G82" s="26">
        <v>0</v>
      </c>
      <c r="H82" s="26">
        <f t="shared" si="18"/>
        <v>1.0449999999999999</v>
      </c>
      <c r="I82" s="19">
        <v>0</v>
      </c>
      <c r="J82" s="19">
        <v>0</v>
      </c>
      <c r="K82" s="19">
        <v>0</v>
      </c>
      <c r="L82" s="19">
        <v>0</v>
      </c>
      <c r="M82" s="19">
        <f t="shared" si="20"/>
        <v>0</v>
      </c>
      <c r="N82" s="35"/>
      <c r="O82" s="36"/>
      <c r="P82" s="161">
        <f t="shared" si="19"/>
        <v>0</v>
      </c>
      <c r="Q82" s="16"/>
    </row>
    <row r="83" spans="1:20" ht="17.25" customHeight="1" x14ac:dyDescent="0.3">
      <c r="A83" s="87"/>
      <c r="B83" s="55" t="s">
        <v>64</v>
      </c>
      <c r="C83" s="56" t="s">
        <v>31</v>
      </c>
      <c r="D83" s="57">
        <v>6</v>
      </c>
      <c r="E83" s="85" t="s">
        <v>164</v>
      </c>
      <c r="F83" s="26">
        <f>14%*D83</f>
        <v>0.84000000000000008</v>
      </c>
      <c r="G83" s="26">
        <v>0</v>
      </c>
      <c r="H83" s="26">
        <f t="shared" si="18"/>
        <v>0.84000000000000008</v>
      </c>
      <c r="I83" s="79">
        <v>0</v>
      </c>
      <c r="J83" s="79">
        <v>0</v>
      </c>
      <c r="K83" s="79">
        <v>0</v>
      </c>
      <c r="L83" s="79">
        <v>0</v>
      </c>
      <c r="M83" s="79">
        <f t="shared" si="20"/>
        <v>0</v>
      </c>
      <c r="N83" s="80"/>
      <c r="O83" s="81"/>
      <c r="P83" s="161">
        <f t="shared" si="19"/>
        <v>0</v>
      </c>
      <c r="Q83" s="87"/>
    </row>
    <row r="84" spans="1:20" ht="18.75" customHeight="1" x14ac:dyDescent="0.3">
      <c r="A84" s="75"/>
      <c r="B84" s="72" t="s">
        <v>349</v>
      </c>
      <c r="C84" s="72"/>
      <c r="D84" s="73">
        <f>SUM(D75:D83)</f>
        <v>102.95</v>
      </c>
      <c r="E84" s="74"/>
      <c r="F84" s="73">
        <f t="shared" ref="F84:K84" si="21">SUM(F75:F83)</f>
        <v>12.2859</v>
      </c>
      <c r="G84" s="73">
        <f t="shared" si="21"/>
        <v>2.8109999999999999</v>
      </c>
      <c r="H84" s="73">
        <f t="shared" si="21"/>
        <v>15.0969</v>
      </c>
      <c r="I84" s="83">
        <f t="shared" si="21"/>
        <v>0</v>
      </c>
      <c r="J84" s="83">
        <f t="shared" si="21"/>
        <v>0</v>
      </c>
      <c r="K84" s="83">
        <f t="shared" si="21"/>
        <v>2</v>
      </c>
      <c r="L84" s="83">
        <f>SUM(L74:L83)</f>
        <v>2</v>
      </c>
      <c r="M84" s="83">
        <f>SUM(M75:M83)</f>
        <v>4</v>
      </c>
      <c r="N84" s="76"/>
      <c r="O84" s="77"/>
      <c r="P84" s="162">
        <f>SUM(P75:P83)</f>
        <v>16393752</v>
      </c>
      <c r="Q84" s="75"/>
    </row>
    <row r="85" spans="1:20" ht="17.25" customHeight="1" x14ac:dyDescent="0.3">
      <c r="A85" s="103">
        <v>6</v>
      </c>
      <c r="B85" s="104" t="s">
        <v>116</v>
      </c>
      <c r="C85" s="104"/>
      <c r="D85" s="105"/>
      <c r="E85" s="106"/>
      <c r="F85" s="105"/>
      <c r="G85" s="107"/>
      <c r="H85" s="105"/>
      <c r="I85" s="107"/>
      <c r="J85" s="107"/>
      <c r="K85" s="107"/>
      <c r="L85" s="107"/>
      <c r="M85" s="107"/>
      <c r="N85" s="69"/>
      <c r="O85" s="70"/>
      <c r="P85" s="70"/>
      <c r="Q85" s="68"/>
      <c r="S85" s="1" t="s">
        <v>596</v>
      </c>
    </row>
    <row r="86" spans="1:20" ht="20.25" customHeight="1" x14ac:dyDescent="0.3">
      <c r="A86" s="27"/>
      <c r="B86" s="152" t="s">
        <v>57</v>
      </c>
      <c r="C86" s="153" t="s">
        <v>30</v>
      </c>
      <c r="D86" s="154">
        <v>57.9</v>
      </c>
      <c r="E86" s="101" t="s">
        <v>188</v>
      </c>
      <c r="F86" s="154">
        <f>3%*D86</f>
        <v>1.7369999999999999</v>
      </c>
      <c r="G86" s="155">
        <v>0</v>
      </c>
      <c r="H86" s="154">
        <f t="shared" ref="H86:H90" si="22">SUM(F86:G86)</f>
        <v>1.7369999999999999</v>
      </c>
      <c r="I86" s="155">
        <v>0</v>
      </c>
      <c r="J86" s="155"/>
      <c r="K86" s="155"/>
      <c r="L86" s="155">
        <v>0</v>
      </c>
      <c r="M86" s="155">
        <f>SUM(I86:L86)</f>
        <v>0</v>
      </c>
      <c r="N86" s="156" t="s">
        <v>86</v>
      </c>
      <c r="O86" s="40" t="s">
        <v>271</v>
      </c>
      <c r="P86" s="176">
        <f>G86*0.347*30*16000000</f>
        <v>0</v>
      </c>
      <c r="Q86" s="27"/>
      <c r="S86" s="1" t="s">
        <v>597</v>
      </c>
      <c r="T86" s="1" t="s">
        <v>598</v>
      </c>
    </row>
    <row r="87" spans="1:20" ht="22.5" customHeight="1" x14ac:dyDescent="0.3">
      <c r="A87" s="16"/>
      <c r="B87" s="14" t="s">
        <v>58</v>
      </c>
      <c r="C87" s="15" t="s">
        <v>44</v>
      </c>
      <c r="D87" s="26">
        <v>84.65</v>
      </c>
      <c r="E87" s="47" t="s">
        <v>182</v>
      </c>
      <c r="F87" s="26">
        <f>4%*D87</f>
        <v>3.3860000000000001</v>
      </c>
      <c r="G87" s="19">
        <v>0</v>
      </c>
      <c r="H87" s="26">
        <f t="shared" si="22"/>
        <v>3.3860000000000001</v>
      </c>
      <c r="I87" s="19">
        <v>0</v>
      </c>
      <c r="J87" s="19"/>
      <c r="K87" s="19">
        <v>2</v>
      </c>
      <c r="L87" s="19">
        <v>0</v>
      </c>
      <c r="M87" s="19">
        <f t="shared" ref="M87:M90" si="23">SUM(I87:L87)</f>
        <v>2</v>
      </c>
      <c r="N87" s="35"/>
      <c r="O87" s="36" t="s">
        <v>272</v>
      </c>
      <c r="P87" s="176">
        <f>G87*0.347*30*16000000</f>
        <v>0</v>
      </c>
      <c r="Q87" s="16"/>
      <c r="S87" s="1" t="s">
        <v>599</v>
      </c>
      <c r="T87" s="1" t="s">
        <v>600</v>
      </c>
    </row>
    <row r="88" spans="1:20" ht="29.25" customHeight="1" x14ac:dyDescent="0.3">
      <c r="A88" s="16"/>
      <c r="B88" s="14"/>
      <c r="C88" s="15"/>
      <c r="D88" s="26"/>
      <c r="E88" s="101" t="s">
        <v>181</v>
      </c>
      <c r="F88" s="96">
        <f>9%*D87</f>
        <v>7.6185</v>
      </c>
      <c r="G88" s="97">
        <v>2</v>
      </c>
      <c r="H88" s="96">
        <f t="shared" si="22"/>
        <v>9.6185000000000009</v>
      </c>
      <c r="I88" s="97">
        <v>0</v>
      </c>
      <c r="J88" s="97"/>
      <c r="K88" s="97">
        <v>0</v>
      </c>
      <c r="L88" s="97">
        <v>0</v>
      </c>
      <c r="M88" s="97">
        <f>SUM(I88:L88)</f>
        <v>0</v>
      </c>
      <c r="N88" s="35"/>
      <c r="O88" s="159" t="s">
        <v>273</v>
      </c>
      <c r="P88" s="176">
        <f>G88*0.347*30*16000000</f>
        <v>333120000</v>
      </c>
      <c r="Q88" s="16"/>
    </row>
    <row r="89" spans="1:20" ht="27.75" customHeight="1" x14ac:dyDescent="0.3">
      <c r="A89" s="16"/>
      <c r="B89" s="14" t="s">
        <v>59</v>
      </c>
      <c r="C89" s="15" t="s">
        <v>33</v>
      </c>
      <c r="D89" s="26">
        <v>14.2</v>
      </c>
      <c r="E89" s="101" t="s">
        <v>181</v>
      </c>
      <c r="F89" s="26">
        <f>10%*D89</f>
        <v>1.42</v>
      </c>
      <c r="G89" s="19">
        <v>0</v>
      </c>
      <c r="H89" s="26">
        <f t="shared" si="22"/>
        <v>1.42</v>
      </c>
      <c r="I89" s="19">
        <v>0</v>
      </c>
      <c r="J89" s="19"/>
      <c r="K89" s="19"/>
      <c r="L89" s="19"/>
      <c r="M89" s="19">
        <f t="shared" si="23"/>
        <v>0</v>
      </c>
      <c r="N89" s="35" t="s">
        <v>88</v>
      </c>
      <c r="O89" s="36" t="s">
        <v>274</v>
      </c>
      <c r="P89" s="176">
        <f>G89*0.347*30*16000000</f>
        <v>0</v>
      </c>
      <c r="Q89" s="16"/>
      <c r="S89" s="1" t="s">
        <v>592</v>
      </c>
    </row>
    <row r="90" spans="1:20" ht="48" customHeight="1" x14ac:dyDescent="0.3">
      <c r="A90" s="108"/>
      <c r="B90" s="128" t="s">
        <v>61</v>
      </c>
      <c r="C90" s="126" t="s">
        <v>35</v>
      </c>
      <c r="D90" s="127">
        <v>36.72</v>
      </c>
      <c r="E90" s="142" t="s">
        <v>183</v>
      </c>
      <c r="F90" s="127">
        <f>7%*D90</f>
        <v>2.5704000000000002</v>
      </c>
      <c r="G90" s="143">
        <v>0</v>
      </c>
      <c r="H90" s="127">
        <f t="shared" si="22"/>
        <v>2.5704000000000002</v>
      </c>
      <c r="I90" s="143">
        <v>0</v>
      </c>
      <c r="J90" s="143">
        <v>0</v>
      </c>
      <c r="K90" s="143">
        <v>0</v>
      </c>
      <c r="L90" s="143">
        <v>0</v>
      </c>
      <c r="M90" s="143">
        <f t="shared" si="23"/>
        <v>0</v>
      </c>
      <c r="N90" s="157" t="s">
        <v>254</v>
      </c>
      <c r="O90" s="158" t="s">
        <v>137</v>
      </c>
      <c r="P90" s="176">
        <f>G90*0.347*30*16000000</f>
        <v>0</v>
      </c>
      <c r="Q90" s="87"/>
      <c r="S90" s="217" t="s">
        <v>601</v>
      </c>
      <c r="T90" s="216" t="s">
        <v>602</v>
      </c>
    </row>
    <row r="91" spans="1:20" ht="14.25" customHeight="1" x14ac:dyDescent="0.3">
      <c r="A91" s="75"/>
      <c r="B91" s="136" t="s">
        <v>351</v>
      </c>
      <c r="C91" s="137"/>
      <c r="D91" s="138">
        <f>SUM(D86:D90)</f>
        <v>193.47</v>
      </c>
      <c r="E91" s="139"/>
      <c r="F91" s="138">
        <f t="shared" ref="F91:M91" si="24">SUM(F86:F90)</f>
        <v>16.7319</v>
      </c>
      <c r="G91" s="140">
        <f t="shared" si="24"/>
        <v>2</v>
      </c>
      <c r="H91" s="138">
        <f t="shared" si="24"/>
        <v>18.731900000000003</v>
      </c>
      <c r="I91" s="140">
        <f t="shared" si="24"/>
        <v>0</v>
      </c>
      <c r="J91" s="140">
        <f t="shared" si="24"/>
        <v>0</v>
      </c>
      <c r="K91" s="140">
        <f t="shared" si="24"/>
        <v>2</v>
      </c>
      <c r="L91" s="140">
        <f t="shared" si="24"/>
        <v>0</v>
      </c>
      <c r="M91" s="140">
        <f t="shared" si="24"/>
        <v>2</v>
      </c>
      <c r="N91" s="76"/>
      <c r="O91" s="77"/>
      <c r="P91" s="77"/>
      <c r="Q91" s="75"/>
    </row>
    <row r="92" spans="1:20" ht="13.5" customHeight="1" x14ac:dyDescent="0.3">
      <c r="A92" s="63">
        <v>7</v>
      </c>
      <c r="B92" s="8" t="s">
        <v>117</v>
      </c>
      <c r="C92" s="10"/>
      <c r="D92" s="90"/>
      <c r="E92" s="67"/>
      <c r="F92" s="66"/>
      <c r="G92" s="82"/>
      <c r="H92" s="66"/>
      <c r="I92" s="82"/>
      <c r="J92" s="82"/>
      <c r="K92" s="82"/>
      <c r="L92" s="82"/>
      <c r="M92" s="82"/>
      <c r="N92" s="69"/>
      <c r="O92" s="70"/>
      <c r="P92" s="70"/>
      <c r="Q92" s="68"/>
    </row>
    <row r="93" spans="1:20" ht="24.75" customHeight="1" x14ac:dyDescent="0.3">
      <c r="A93" s="16"/>
      <c r="B93" s="14" t="s">
        <v>57</v>
      </c>
      <c r="C93" s="15" t="s">
        <v>22</v>
      </c>
      <c r="D93" s="26">
        <v>296.95</v>
      </c>
      <c r="E93" s="101" t="s">
        <v>203</v>
      </c>
      <c r="F93" s="96">
        <f>4%*D93</f>
        <v>11.878</v>
      </c>
      <c r="G93" s="97">
        <v>2</v>
      </c>
      <c r="H93" s="96">
        <f t="shared" ref="H93:H101" si="25">SUM(F93:G93)</f>
        <v>13.878</v>
      </c>
      <c r="I93" s="97">
        <v>0</v>
      </c>
      <c r="J93" s="97"/>
      <c r="K93" s="97">
        <v>0</v>
      </c>
      <c r="L93" s="97">
        <v>5</v>
      </c>
      <c r="M93" s="97">
        <f>SUM(I93:L93)</f>
        <v>5</v>
      </c>
      <c r="N93" s="35"/>
      <c r="O93" s="40" t="s">
        <v>211</v>
      </c>
      <c r="P93" s="167">
        <f t="shared" ref="P93:P102" si="26">G93*0.3*30%*50000000</f>
        <v>9000000</v>
      </c>
      <c r="Q93" s="16"/>
    </row>
    <row r="94" spans="1:20" ht="15" customHeight="1" x14ac:dyDescent="0.3">
      <c r="A94" s="16"/>
      <c r="B94" s="14"/>
      <c r="C94" s="15"/>
      <c r="D94" s="26"/>
      <c r="E94" s="101" t="s">
        <v>220</v>
      </c>
      <c r="F94" s="96">
        <f>1%*D93</f>
        <v>2.9695</v>
      </c>
      <c r="G94" s="97">
        <v>3</v>
      </c>
      <c r="H94" s="96">
        <f>SUM(F94:G94)</f>
        <v>5.9695</v>
      </c>
      <c r="I94" s="97">
        <v>0</v>
      </c>
      <c r="J94" s="97"/>
      <c r="K94" s="97">
        <v>0</v>
      </c>
      <c r="L94" s="97">
        <v>3</v>
      </c>
      <c r="M94" s="97">
        <f>SUM(I94:L94)</f>
        <v>3</v>
      </c>
      <c r="N94" s="35"/>
      <c r="O94" s="40"/>
      <c r="P94" s="167">
        <f t="shared" si="26"/>
        <v>13499999.999999998</v>
      </c>
      <c r="Q94" s="16"/>
    </row>
    <row r="95" spans="1:20" ht="32.25" customHeight="1" x14ac:dyDescent="0.3">
      <c r="A95" s="16"/>
      <c r="B95" s="14" t="s">
        <v>58</v>
      </c>
      <c r="C95" s="15" t="s">
        <v>42</v>
      </c>
      <c r="D95" s="26">
        <v>248.5</v>
      </c>
      <c r="E95" s="101" t="s">
        <v>203</v>
      </c>
      <c r="F95" s="96">
        <f>3%*D95</f>
        <v>7.4550000000000001</v>
      </c>
      <c r="G95" s="97">
        <v>0</v>
      </c>
      <c r="H95" s="96">
        <f t="shared" si="25"/>
        <v>7.4550000000000001</v>
      </c>
      <c r="I95" s="97">
        <v>0</v>
      </c>
      <c r="J95" s="97"/>
      <c r="K95" s="97">
        <v>0</v>
      </c>
      <c r="L95" s="97">
        <v>4</v>
      </c>
      <c r="M95" s="97">
        <f>SUM(I95:L95)</f>
        <v>4</v>
      </c>
      <c r="N95" s="35"/>
      <c r="O95" s="40" t="s">
        <v>137</v>
      </c>
      <c r="P95" s="167">
        <f t="shared" si="26"/>
        <v>0</v>
      </c>
      <c r="Q95" s="16"/>
      <c r="R95" s="1" t="s">
        <v>333</v>
      </c>
      <c r="S95" s="1" t="s">
        <v>593</v>
      </c>
    </row>
    <row r="96" spans="1:20" ht="14.25" customHeight="1" x14ac:dyDescent="0.3">
      <c r="A96" s="16"/>
      <c r="B96" s="14"/>
      <c r="C96" s="15"/>
      <c r="D96" s="26"/>
      <c r="E96" s="101" t="s">
        <v>220</v>
      </c>
      <c r="F96" s="96">
        <f>5%*D95</f>
        <v>12.425000000000001</v>
      </c>
      <c r="G96" s="97"/>
      <c r="H96" s="96">
        <f>SUM(F96:G96)</f>
        <v>12.425000000000001</v>
      </c>
      <c r="I96" s="97"/>
      <c r="J96" s="97"/>
      <c r="K96" s="97"/>
      <c r="L96" s="97"/>
      <c r="M96" s="97"/>
      <c r="N96" s="35"/>
      <c r="O96" s="40"/>
      <c r="P96" s="167">
        <f t="shared" si="26"/>
        <v>0</v>
      </c>
      <c r="Q96" s="16"/>
      <c r="S96" s="1" t="s">
        <v>594</v>
      </c>
    </row>
    <row r="97" spans="1:19" ht="22.5" customHeight="1" x14ac:dyDescent="0.3">
      <c r="A97" s="16"/>
      <c r="B97" s="14" t="s">
        <v>59</v>
      </c>
      <c r="C97" s="15" t="s">
        <v>21</v>
      </c>
      <c r="D97" s="18">
        <v>156.94999999999999</v>
      </c>
      <c r="E97" s="101" t="s">
        <v>203</v>
      </c>
      <c r="F97" s="145"/>
      <c r="G97" s="146">
        <v>2</v>
      </c>
      <c r="H97" s="96">
        <f t="shared" si="25"/>
        <v>2</v>
      </c>
      <c r="I97" s="97">
        <v>0</v>
      </c>
      <c r="J97" s="97"/>
      <c r="K97" s="97">
        <v>0</v>
      </c>
      <c r="L97" s="97">
        <v>3</v>
      </c>
      <c r="M97" s="97">
        <f>SUM(I97:L97)</f>
        <v>3</v>
      </c>
      <c r="N97" s="35"/>
      <c r="O97" s="36"/>
      <c r="P97" s="167">
        <f t="shared" si="26"/>
        <v>9000000</v>
      </c>
      <c r="Q97" s="16"/>
      <c r="S97" s="1" t="s">
        <v>595</v>
      </c>
    </row>
    <row r="98" spans="1:19" ht="15.75" customHeight="1" x14ac:dyDescent="0.3">
      <c r="A98" s="16"/>
      <c r="B98" s="14"/>
      <c r="C98" s="15"/>
      <c r="D98" s="18"/>
      <c r="E98" s="101" t="s">
        <v>220</v>
      </c>
      <c r="F98" s="96">
        <f>5%*D97</f>
        <v>7.8475000000000001</v>
      </c>
      <c r="G98" s="97"/>
      <c r="H98" s="96">
        <f>SUM(F98:G98)</f>
        <v>7.8475000000000001</v>
      </c>
      <c r="I98" s="97"/>
      <c r="J98" s="97"/>
      <c r="K98" s="97"/>
      <c r="L98" s="97"/>
      <c r="M98" s="97"/>
      <c r="N98" s="35"/>
      <c r="O98" s="36"/>
      <c r="P98" s="167">
        <f t="shared" si="26"/>
        <v>0</v>
      </c>
      <c r="Q98" s="16"/>
    </row>
    <row r="99" spans="1:19" ht="24" customHeight="1" x14ac:dyDescent="0.3">
      <c r="A99" s="16"/>
      <c r="B99" s="14" t="s">
        <v>60</v>
      </c>
      <c r="C99" s="15" t="s">
        <v>43</v>
      </c>
      <c r="D99" s="26">
        <v>455.8</v>
      </c>
      <c r="E99" s="101" t="s">
        <v>221</v>
      </c>
      <c r="F99" s="96">
        <f>5%*D99</f>
        <v>22.790000000000003</v>
      </c>
      <c r="G99" s="97">
        <v>0</v>
      </c>
      <c r="H99" s="96">
        <f t="shared" si="25"/>
        <v>22.790000000000003</v>
      </c>
      <c r="I99" s="97">
        <v>0</v>
      </c>
      <c r="J99" s="97"/>
      <c r="K99" s="97">
        <v>0</v>
      </c>
      <c r="L99" s="97">
        <v>2</v>
      </c>
      <c r="M99" s="97">
        <f>SUM(I99:L99)</f>
        <v>2</v>
      </c>
      <c r="N99" s="35"/>
      <c r="O99" s="36"/>
      <c r="P99" s="167">
        <f t="shared" si="26"/>
        <v>0</v>
      </c>
      <c r="Q99" s="16"/>
    </row>
    <row r="100" spans="1:19" ht="20.25" customHeight="1" x14ac:dyDescent="0.3">
      <c r="A100" s="16"/>
      <c r="B100" s="14"/>
      <c r="C100" s="15"/>
      <c r="D100" s="26"/>
      <c r="E100" s="101" t="s">
        <v>220</v>
      </c>
      <c r="F100" s="96"/>
      <c r="G100" s="96">
        <f>10%*D99</f>
        <v>45.580000000000005</v>
      </c>
      <c r="H100" s="96">
        <f>SUM(F100:G100)</f>
        <v>45.580000000000005</v>
      </c>
      <c r="I100" s="97"/>
      <c r="J100" s="97"/>
      <c r="K100" s="97"/>
      <c r="L100" s="97"/>
      <c r="M100" s="97"/>
      <c r="N100" s="35"/>
      <c r="O100" s="36"/>
      <c r="P100" s="167">
        <f t="shared" si="26"/>
        <v>205110000</v>
      </c>
      <c r="Q100" s="16"/>
    </row>
    <row r="101" spans="1:19" ht="23.25" customHeight="1" x14ac:dyDescent="0.3">
      <c r="A101" s="16"/>
      <c r="B101" s="14" t="s">
        <v>61</v>
      </c>
      <c r="C101" s="15" t="s">
        <v>44</v>
      </c>
      <c r="D101" s="26">
        <v>87.95</v>
      </c>
      <c r="E101" s="101" t="s">
        <v>203</v>
      </c>
      <c r="F101" s="26">
        <f>10%*D101</f>
        <v>8.7949999999999999</v>
      </c>
      <c r="G101" s="19">
        <v>0</v>
      </c>
      <c r="H101" s="26">
        <f t="shared" si="25"/>
        <v>8.7949999999999999</v>
      </c>
      <c r="I101" s="19">
        <v>0</v>
      </c>
      <c r="J101" s="19"/>
      <c r="K101" s="19">
        <v>2</v>
      </c>
      <c r="L101" s="19">
        <v>3</v>
      </c>
      <c r="M101" s="19">
        <f t="shared" ref="M101:M103" si="27">SUM(I101:L101)</f>
        <v>5</v>
      </c>
      <c r="N101" s="35"/>
      <c r="O101" s="36"/>
      <c r="P101" s="167">
        <f t="shared" si="26"/>
        <v>0</v>
      </c>
      <c r="Q101" s="16"/>
    </row>
    <row r="102" spans="1:19" ht="18.75" customHeight="1" x14ac:dyDescent="0.3">
      <c r="A102" s="16"/>
      <c r="B102" s="14"/>
      <c r="C102" s="15"/>
      <c r="D102" s="26"/>
      <c r="E102" s="101" t="s">
        <v>220</v>
      </c>
      <c r="F102" s="26"/>
      <c r="G102" s="26">
        <f>5%*D101</f>
        <v>4.3975</v>
      </c>
      <c r="H102" s="26">
        <f>SUM(F102:G102)</f>
        <v>4.3975</v>
      </c>
      <c r="I102" s="97">
        <v>0</v>
      </c>
      <c r="J102" s="97">
        <v>0</v>
      </c>
      <c r="K102" s="97">
        <v>0</v>
      </c>
      <c r="L102" s="97">
        <v>0</v>
      </c>
      <c r="M102" s="97">
        <f t="shared" si="27"/>
        <v>0</v>
      </c>
      <c r="N102" s="35"/>
      <c r="O102" s="36"/>
      <c r="P102" s="167">
        <f t="shared" si="26"/>
        <v>19788750</v>
      </c>
      <c r="Q102" s="16"/>
    </row>
    <row r="103" spans="1:19" ht="7.5" customHeight="1" x14ac:dyDescent="0.3">
      <c r="A103" s="87"/>
      <c r="B103" s="55"/>
      <c r="C103" s="56"/>
      <c r="D103" s="57"/>
      <c r="E103" s="132"/>
      <c r="F103" s="124"/>
      <c r="G103" s="124"/>
      <c r="H103" s="124">
        <f>SUM(F103:G103)</f>
        <v>0</v>
      </c>
      <c r="I103" s="133">
        <v>0</v>
      </c>
      <c r="J103" s="133">
        <v>0</v>
      </c>
      <c r="K103" s="133">
        <v>0</v>
      </c>
      <c r="L103" s="133">
        <v>0</v>
      </c>
      <c r="M103" s="133">
        <f t="shared" si="27"/>
        <v>0</v>
      </c>
      <c r="N103" s="80"/>
      <c r="O103" s="81"/>
      <c r="P103" s="81"/>
      <c r="Q103" s="87"/>
    </row>
    <row r="104" spans="1:19" ht="18.75" customHeight="1" x14ac:dyDescent="0.3">
      <c r="A104" s="75"/>
      <c r="B104" s="72" t="s">
        <v>350</v>
      </c>
      <c r="C104" s="72"/>
      <c r="D104" s="73">
        <f>SUM(D93:D103)</f>
        <v>1246.1500000000001</v>
      </c>
      <c r="E104" s="74"/>
      <c r="F104" s="73">
        <f>SUM(F86:F103)</f>
        <v>107.6238</v>
      </c>
      <c r="G104" s="83">
        <f>SUM(G86:G103)</f>
        <v>60.977500000000006</v>
      </c>
      <c r="H104" s="73">
        <f>SUM(H86:H103)</f>
        <v>168.60130000000001</v>
      </c>
      <c r="I104" s="83">
        <f>SUM(I93:I103)</f>
        <v>0</v>
      </c>
      <c r="J104" s="83">
        <f>SUM(J93:J103)</f>
        <v>0</v>
      </c>
      <c r="K104" s="83">
        <f>SUM(K93:K103)</f>
        <v>2</v>
      </c>
      <c r="L104" s="83">
        <f>SUM(L93:L103)</f>
        <v>20</v>
      </c>
      <c r="M104" s="83">
        <f>SUM(M92:M103)</f>
        <v>22</v>
      </c>
      <c r="N104" s="76"/>
      <c r="O104" s="77"/>
      <c r="P104" s="168">
        <f>SUM(P93:P103)</f>
        <v>256398750</v>
      </c>
      <c r="Q104" s="75"/>
    </row>
    <row r="105" spans="1:19" ht="8.25" customHeight="1" x14ac:dyDescent="0.3">
      <c r="F105" s="2"/>
      <c r="G105" s="2"/>
      <c r="H105" s="2"/>
      <c r="I105" s="2"/>
      <c r="J105" s="2"/>
      <c r="K105" s="2"/>
      <c r="L105" s="2"/>
      <c r="M105" s="2"/>
    </row>
    <row r="106" spans="1:19" ht="14.25" customHeight="1" x14ac:dyDescent="0.3">
      <c r="F106" s="2"/>
      <c r="G106" s="2"/>
      <c r="H106" s="2"/>
      <c r="I106" s="2"/>
      <c r="J106" s="2" t="s">
        <v>346</v>
      </c>
      <c r="K106" s="2"/>
      <c r="L106" s="2"/>
      <c r="M106" s="2"/>
    </row>
    <row r="107" spans="1:19" ht="12" customHeight="1" x14ac:dyDescent="0.3">
      <c r="A107" s="395" t="s">
        <v>80</v>
      </c>
      <c r="B107" s="395"/>
      <c r="C107" s="395"/>
      <c r="D107" s="395"/>
    </row>
    <row r="108" spans="1:19" x14ac:dyDescent="0.3">
      <c r="A108" s="395" t="s">
        <v>81</v>
      </c>
      <c r="B108" s="395"/>
      <c r="C108" s="395"/>
      <c r="D108" s="395"/>
      <c r="J108" s="1" t="s">
        <v>85</v>
      </c>
    </row>
    <row r="109" spans="1:19" x14ac:dyDescent="0.3">
      <c r="A109" s="395" t="s">
        <v>82</v>
      </c>
      <c r="B109" s="395"/>
      <c r="C109" s="395"/>
      <c r="D109" s="395"/>
      <c r="J109" s="3" t="s">
        <v>86</v>
      </c>
      <c r="K109" s="1" t="s">
        <v>87</v>
      </c>
      <c r="O109" s="1" t="s">
        <v>90</v>
      </c>
    </row>
    <row r="110" spans="1:19" x14ac:dyDescent="0.3">
      <c r="A110" s="395" t="s">
        <v>83</v>
      </c>
      <c r="B110" s="395"/>
      <c r="C110" s="395"/>
      <c r="D110" s="395"/>
      <c r="K110" s="1" t="s">
        <v>91</v>
      </c>
    </row>
    <row r="111" spans="1:19" ht="13.5" customHeight="1" x14ac:dyDescent="0.3"/>
    <row r="112" spans="1:19" x14ac:dyDescent="0.3">
      <c r="J112" s="3" t="s">
        <v>88</v>
      </c>
      <c r="K112" s="1" t="s">
        <v>89</v>
      </c>
      <c r="O112" s="1" t="s">
        <v>90</v>
      </c>
    </row>
    <row r="113" spans="1:15" x14ac:dyDescent="0.3">
      <c r="K113" s="1" t="s">
        <v>92</v>
      </c>
    </row>
    <row r="114" spans="1:15" x14ac:dyDescent="0.3">
      <c r="A114" s="398" t="s">
        <v>175</v>
      </c>
      <c r="B114" s="398"/>
      <c r="C114" s="398"/>
      <c r="D114" s="398"/>
    </row>
    <row r="115" spans="1:15" x14ac:dyDescent="0.3">
      <c r="A115" s="395" t="s">
        <v>190</v>
      </c>
      <c r="B115" s="395"/>
      <c r="C115" s="395"/>
      <c r="D115" s="395"/>
      <c r="J115" s="1" t="s">
        <v>254</v>
      </c>
      <c r="K115" s="1" t="s">
        <v>255</v>
      </c>
      <c r="O115" s="1" t="s">
        <v>90</v>
      </c>
    </row>
    <row r="116" spans="1:15" x14ac:dyDescent="0.3">
      <c r="K116" s="1" t="s">
        <v>256</v>
      </c>
    </row>
  </sheetData>
  <mergeCells count="21">
    <mergeCell ref="A115:D115"/>
    <mergeCell ref="B24:C24"/>
    <mergeCell ref="B31:C31"/>
    <mergeCell ref="A109:D109"/>
    <mergeCell ref="O26:O30"/>
    <mergeCell ref="A107:D107"/>
    <mergeCell ref="A108:D108"/>
    <mergeCell ref="A110:D110"/>
    <mergeCell ref="A114:D114"/>
    <mergeCell ref="A1:Q1"/>
    <mergeCell ref="A2:Q2"/>
    <mergeCell ref="A6:A7"/>
    <mergeCell ref="B6:C6"/>
    <mergeCell ref="D6:D7"/>
    <mergeCell ref="E6:E7"/>
    <mergeCell ref="F6:H6"/>
    <mergeCell ref="I6:M6"/>
    <mergeCell ref="N6:O7"/>
    <mergeCell ref="P6:P7"/>
    <mergeCell ref="Q6:Q7"/>
    <mergeCell ref="B7:C7"/>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X132"/>
  <sheetViews>
    <sheetView view="pageBreakPreview" topLeftCell="A102" zoomScale="96" zoomScaleNormal="100" zoomScaleSheetLayoutView="96" workbookViewId="0">
      <selection activeCell="A104" sqref="A104:Q120"/>
    </sheetView>
  </sheetViews>
  <sheetFormatPr defaultColWidth="9.1796875" defaultRowHeight="14" x14ac:dyDescent="0.3"/>
  <cols>
    <col min="1" max="1" width="5.26953125" style="1" customWidth="1"/>
    <col min="2" max="2" width="2.1796875" style="1" customWidth="1"/>
    <col min="3" max="3" width="17.1796875" style="1" customWidth="1"/>
    <col min="4" max="4" width="9.1796875" style="1" customWidth="1"/>
    <col min="5" max="5" width="26.81640625" style="1" customWidth="1"/>
    <col min="6" max="6" width="10" style="1" bestFit="1" customWidth="1"/>
    <col min="7" max="7" width="8.81640625" style="1" customWidth="1"/>
    <col min="8" max="8" width="9" style="1" customWidth="1"/>
    <col min="9" max="9" width="6.7265625" style="1" customWidth="1"/>
    <col min="10" max="10" width="7" style="1" customWidth="1"/>
    <col min="11" max="12" width="7.54296875" style="1" customWidth="1"/>
    <col min="13" max="13" width="6.81640625" style="1" bestFit="1" customWidth="1"/>
    <col min="14" max="14" width="2.1796875" style="1" customWidth="1"/>
    <col min="15" max="15" width="20.1796875" style="1" customWidth="1"/>
    <col min="16" max="16" width="14.453125" style="1" customWidth="1"/>
    <col min="17" max="17" width="8.81640625" style="1" customWidth="1"/>
    <col min="18" max="19" width="9.1796875" style="1"/>
    <col min="20" max="20" width="10.7265625" style="1" customWidth="1"/>
    <col min="21" max="16384" width="9.1796875" style="1"/>
  </cols>
  <sheetData>
    <row r="1" spans="1:20" x14ac:dyDescent="0.3">
      <c r="A1" s="385" t="s">
        <v>260</v>
      </c>
      <c r="B1" s="385"/>
      <c r="C1" s="385"/>
      <c r="D1" s="385"/>
      <c r="E1" s="385"/>
      <c r="F1" s="385"/>
      <c r="G1" s="385"/>
      <c r="H1" s="385"/>
      <c r="I1" s="385"/>
      <c r="J1" s="385"/>
      <c r="K1" s="385"/>
      <c r="L1" s="385"/>
      <c r="M1" s="385"/>
      <c r="N1" s="385"/>
      <c r="O1" s="385"/>
      <c r="P1" s="385"/>
      <c r="Q1" s="385"/>
    </row>
    <row r="2" spans="1:20" ht="14.25" customHeight="1" x14ac:dyDescent="0.3">
      <c r="A2" s="385" t="s">
        <v>261</v>
      </c>
      <c r="B2" s="385"/>
      <c r="C2" s="385"/>
      <c r="D2" s="385"/>
      <c r="E2" s="385"/>
      <c r="F2" s="385"/>
      <c r="G2" s="385"/>
      <c r="H2" s="385"/>
      <c r="I2" s="385"/>
      <c r="J2" s="385"/>
      <c r="K2" s="385"/>
      <c r="L2" s="385"/>
      <c r="M2" s="385"/>
      <c r="N2" s="385"/>
      <c r="O2" s="385"/>
      <c r="P2" s="385"/>
      <c r="Q2" s="385"/>
    </row>
    <row r="3" spans="1:20" ht="14.25" customHeight="1" x14ac:dyDescent="0.3">
      <c r="A3" s="1" t="s">
        <v>1</v>
      </c>
      <c r="C3" s="1" t="s">
        <v>603</v>
      </c>
    </row>
    <row r="4" spans="1:20" ht="14.25" customHeight="1" x14ac:dyDescent="0.3">
      <c r="A4" s="1" t="s">
        <v>2</v>
      </c>
      <c r="C4" s="1" t="s">
        <v>605</v>
      </c>
      <c r="D4" s="4"/>
    </row>
    <row r="6" spans="1:20" x14ac:dyDescent="0.3">
      <c r="A6" s="386" t="s">
        <v>3</v>
      </c>
      <c r="B6" s="388" t="s">
        <v>4</v>
      </c>
      <c r="C6" s="388"/>
      <c r="D6" s="389" t="s">
        <v>259</v>
      </c>
      <c r="E6" s="391" t="s">
        <v>7</v>
      </c>
      <c r="F6" s="393" t="s">
        <v>170</v>
      </c>
      <c r="G6" s="393"/>
      <c r="H6" s="393"/>
      <c r="I6" s="393" t="s">
        <v>12</v>
      </c>
      <c r="J6" s="393"/>
      <c r="K6" s="393"/>
      <c r="L6" s="393"/>
      <c r="M6" s="393"/>
      <c r="N6" s="391" t="s">
        <v>17</v>
      </c>
      <c r="O6" s="391"/>
      <c r="P6" s="391" t="s">
        <v>258</v>
      </c>
      <c r="Q6" s="386" t="s">
        <v>192</v>
      </c>
    </row>
    <row r="7" spans="1:20" x14ac:dyDescent="0.3">
      <c r="A7" s="387"/>
      <c r="B7" s="394" t="s">
        <v>5</v>
      </c>
      <c r="C7" s="394"/>
      <c r="D7" s="390"/>
      <c r="E7" s="392"/>
      <c r="F7" s="147" t="s">
        <v>9</v>
      </c>
      <c r="G7" s="147" t="s">
        <v>10</v>
      </c>
      <c r="H7" s="147" t="s">
        <v>11</v>
      </c>
      <c r="I7" s="147" t="s">
        <v>16</v>
      </c>
      <c r="J7" s="147" t="s">
        <v>13</v>
      </c>
      <c r="K7" s="147" t="s">
        <v>14</v>
      </c>
      <c r="L7" s="148" t="s">
        <v>257</v>
      </c>
      <c r="M7" s="147" t="s">
        <v>11</v>
      </c>
      <c r="N7" s="392"/>
      <c r="O7" s="392"/>
      <c r="P7" s="392"/>
      <c r="Q7" s="387"/>
    </row>
    <row r="8" spans="1:20" ht="9" customHeight="1" x14ac:dyDescent="0.3">
      <c r="A8" s="5"/>
      <c r="B8" s="8"/>
      <c r="C8" s="10"/>
      <c r="D8" s="5"/>
      <c r="E8" s="5"/>
      <c r="F8" s="5"/>
      <c r="G8" s="5"/>
      <c r="H8" s="5"/>
      <c r="I8" s="5"/>
      <c r="J8" s="5"/>
      <c r="K8" s="5"/>
      <c r="L8" s="5"/>
      <c r="M8" s="5"/>
      <c r="N8" s="8"/>
      <c r="O8" s="10"/>
      <c r="P8" s="10"/>
      <c r="Q8" s="5"/>
    </row>
    <row r="9" spans="1:20" ht="18.75" customHeight="1" x14ac:dyDescent="0.3">
      <c r="A9" s="13">
        <v>1</v>
      </c>
      <c r="B9" s="14" t="s">
        <v>20</v>
      </c>
      <c r="C9" s="15"/>
      <c r="D9" s="16"/>
      <c r="E9" s="47"/>
      <c r="F9" s="16"/>
      <c r="G9" s="16"/>
      <c r="H9" s="16"/>
      <c r="I9" s="16"/>
      <c r="J9" s="16"/>
      <c r="K9" s="16"/>
      <c r="L9" s="16"/>
      <c r="M9" s="16"/>
      <c r="N9" s="35"/>
      <c r="O9" s="36"/>
      <c r="P9" s="36"/>
      <c r="Q9" s="16"/>
    </row>
    <row r="10" spans="1:20" ht="18.75" customHeight="1" x14ac:dyDescent="0.3">
      <c r="A10" s="13"/>
      <c r="B10" s="17" t="s">
        <v>57</v>
      </c>
      <c r="C10" s="15" t="s">
        <v>21</v>
      </c>
      <c r="D10" s="18">
        <v>418.06</v>
      </c>
      <c r="E10" s="47" t="s">
        <v>36</v>
      </c>
      <c r="F10" s="26">
        <f>4%*D10</f>
        <v>16.7224</v>
      </c>
      <c r="G10" s="26">
        <v>7</v>
      </c>
      <c r="H10" s="26">
        <f>SUM(F10:G10)</f>
        <v>23.7224</v>
      </c>
      <c r="I10" s="19">
        <v>0</v>
      </c>
      <c r="J10" s="19"/>
      <c r="K10" s="19">
        <v>3</v>
      </c>
      <c r="L10" s="19">
        <v>4</v>
      </c>
      <c r="M10" s="20">
        <f>SUM(I10:L10)</f>
        <v>7</v>
      </c>
      <c r="N10" s="37"/>
      <c r="O10" s="36"/>
      <c r="P10" s="172">
        <f t="shared" ref="P10:P23" si="0">G10*0.261*12%*50000000</f>
        <v>10962000</v>
      </c>
      <c r="Q10" s="16"/>
      <c r="S10" s="1" t="s">
        <v>333</v>
      </c>
      <c r="T10" s="1" t="s">
        <v>341</v>
      </c>
    </row>
    <row r="11" spans="1:20" ht="18.75" customHeight="1" x14ac:dyDescent="0.3">
      <c r="A11" s="13"/>
      <c r="B11" s="14"/>
      <c r="C11" s="15"/>
      <c r="D11" s="18"/>
      <c r="E11" s="47" t="s">
        <v>37</v>
      </c>
      <c r="F11" s="26">
        <f>4%*D10</f>
        <v>16.7224</v>
      </c>
      <c r="G11" s="26">
        <v>2</v>
      </c>
      <c r="H11" s="26">
        <f>SUM(F11:G11)</f>
        <v>18.7224</v>
      </c>
      <c r="I11" s="19">
        <v>0</v>
      </c>
      <c r="J11" s="19"/>
      <c r="K11" s="19"/>
      <c r="L11" s="19">
        <v>3</v>
      </c>
      <c r="M11" s="20">
        <f t="shared" ref="M11:M23" si="1">SUM(I11:L11)</f>
        <v>3</v>
      </c>
      <c r="N11" s="37" t="s">
        <v>51</v>
      </c>
      <c r="O11" s="38" t="s">
        <v>50</v>
      </c>
      <c r="P11" s="172">
        <f t="shared" si="0"/>
        <v>3132000</v>
      </c>
      <c r="Q11" s="16"/>
    </row>
    <row r="12" spans="1:20" ht="18.75" customHeight="1" x14ac:dyDescent="0.3">
      <c r="A12" s="13"/>
      <c r="B12" s="14"/>
      <c r="C12" s="15"/>
      <c r="D12" s="18"/>
      <c r="E12" s="47" t="s">
        <v>38</v>
      </c>
      <c r="F12" s="26">
        <f>3%*D10</f>
        <v>12.5418</v>
      </c>
      <c r="G12" s="26">
        <v>3</v>
      </c>
      <c r="H12" s="26">
        <f>SUM(F12:G12)</f>
        <v>15.5418</v>
      </c>
      <c r="I12" s="19">
        <v>0</v>
      </c>
      <c r="J12" s="19"/>
      <c r="K12" s="19">
        <v>3</v>
      </c>
      <c r="L12" s="19">
        <v>4</v>
      </c>
      <c r="M12" s="20">
        <f t="shared" si="1"/>
        <v>7</v>
      </c>
      <c r="N12" s="37" t="s">
        <v>51</v>
      </c>
      <c r="O12" s="36" t="s">
        <v>49</v>
      </c>
      <c r="P12" s="172">
        <f t="shared" si="0"/>
        <v>4698000</v>
      </c>
      <c r="Q12" s="16"/>
      <c r="S12" s="1" t="s">
        <v>343</v>
      </c>
    </row>
    <row r="13" spans="1:20" ht="28.5" customHeight="1" x14ac:dyDescent="0.3">
      <c r="A13" s="13"/>
      <c r="B13" s="14"/>
      <c r="C13" s="15"/>
      <c r="D13" s="18"/>
      <c r="E13" s="48" t="s">
        <v>39</v>
      </c>
      <c r="F13" s="96">
        <f>20%*D10</f>
        <v>83.612000000000009</v>
      </c>
      <c r="G13" s="96">
        <v>5</v>
      </c>
      <c r="H13" s="96">
        <f>SUM(F13:G13)</f>
        <v>88.612000000000009</v>
      </c>
      <c r="I13" s="97">
        <v>0</v>
      </c>
      <c r="J13" s="97">
        <v>0</v>
      </c>
      <c r="K13" s="97">
        <v>0</v>
      </c>
      <c r="L13" s="97">
        <v>3</v>
      </c>
      <c r="M13" s="121">
        <f t="shared" si="1"/>
        <v>3</v>
      </c>
      <c r="N13" s="39" t="s">
        <v>51</v>
      </c>
      <c r="O13" s="40" t="s">
        <v>48</v>
      </c>
      <c r="P13" s="172">
        <f t="shared" si="0"/>
        <v>7830000.0000000009</v>
      </c>
      <c r="Q13" s="16"/>
      <c r="S13" s="1" t="s">
        <v>342</v>
      </c>
    </row>
    <row r="14" spans="1:20" ht="18.75" customHeight="1" x14ac:dyDescent="0.3">
      <c r="A14" s="13"/>
      <c r="B14" s="17" t="s">
        <v>58</v>
      </c>
      <c r="C14" s="15" t="s">
        <v>22</v>
      </c>
      <c r="D14" s="18">
        <v>827.82</v>
      </c>
      <c r="E14" s="47" t="s">
        <v>36</v>
      </c>
      <c r="F14" s="26">
        <f>5%*D14</f>
        <v>41.391000000000005</v>
      </c>
      <c r="G14" s="26">
        <v>7</v>
      </c>
      <c r="H14" s="26">
        <f>SUM(F14:G14)</f>
        <v>48.391000000000005</v>
      </c>
      <c r="I14" s="19">
        <v>0</v>
      </c>
      <c r="J14" s="19"/>
      <c r="K14" s="19">
        <v>5</v>
      </c>
      <c r="L14" s="19">
        <v>5</v>
      </c>
      <c r="M14" s="20">
        <f t="shared" si="1"/>
        <v>10</v>
      </c>
      <c r="N14" s="35" t="s">
        <v>51</v>
      </c>
      <c r="O14" s="41" t="s">
        <v>137</v>
      </c>
      <c r="P14" s="172">
        <f t="shared" si="0"/>
        <v>10962000</v>
      </c>
      <c r="Q14" s="16"/>
    </row>
    <row r="15" spans="1:20" ht="18.75" customHeight="1" x14ac:dyDescent="0.3">
      <c r="A15" s="13"/>
      <c r="B15" s="14"/>
      <c r="C15" s="15"/>
      <c r="D15" s="26"/>
      <c r="E15" s="47" t="s">
        <v>37</v>
      </c>
      <c r="F15" s="26">
        <f>3%*D14</f>
        <v>24.834600000000002</v>
      </c>
      <c r="G15" s="26">
        <v>4</v>
      </c>
      <c r="H15" s="26">
        <f t="shared" ref="H15:H17" si="2">SUM(F15:G15)</f>
        <v>28.834600000000002</v>
      </c>
      <c r="I15" s="19">
        <v>0</v>
      </c>
      <c r="J15" s="19"/>
      <c r="K15" s="19">
        <v>5</v>
      </c>
      <c r="L15" s="19">
        <v>5</v>
      </c>
      <c r="M15" s="20">
        <f t="shared" si="1"/>
        <v>10</v>
      </c>
      <c r="N15" s="35"/>
      <c r="O15" s="36"/>
      <c r="P15" s="172">
        <f t="shared" si="0"/>
        <v>6264000</v>
      </c>
      <c r="Q15" s="16"/>
      <c r="S15" s="1" t="s">
        <v>344</v>
      </c>
    </row>
    <row r="16" spans="1:20" ht="18.75" customHeight="1" x14ac:dyDescent="0.3">
      <c r="A16" s="13"/>
      <c r="B16" s="14"/>
      <c r="C16" s="15"/>
      <c r="D16" s="26"/>
      <c r="E16" s="47" t="s">
        <v>38</v>
      </c>
      <c r="F16" s="26">
        <f>4%*D14</f>
        <v>33.1128</v>
      </c>
      <c r="G16" s="26">
        <v>5</v>
      </c>
      <c r="H16" s="26">
        <f t="shared" si="2"/>
        <v>38.1128</v>
      </c>
      <c r="I16" s="19">
        <v>0</v>
      </c>
      <c r="J16" s="19"/>
      <c r="K16" s="19">
        <v>5</v>
      </c>
      <c r="L16" s="19">
        <v>3</v>
      </c>
      <c r="M16" s="20">
        <f t="shared" si="1"/>
        <v>8</v>
      </c>
      <c r="N16" s="35"/>
      <c r="O16" s="36"/>
      <c r="P16" s="172">
        <f t="shared" si="0"/>
        <v>7830000.0000000009</v>
      </c>
      <c r="Q16" s="16"/>
      <c r="S16" s="1" t="s">
        <v>345</v>
      </c>
    </row>
    <row r="17" spans="1:19" ht="29.25" customHeight="1" x14ac:dyDescent="0.3">
      <c r="A17" s="54"/>
      <c r="B17" s="55"/>
      <c r="C17" s="56"/>
      <c r="D17" s="57"/>
      <c r="E17" s="58" t="s">
        <v>39</v>
      </c>
      <c r="F17" s="119">
        <f>6%*D14</f>
        <v>49.669200000000004</v>
      </c>
      <c r="G17" s="119">
        <f>5%*D14</f>
        <v>41.391000000000005</v>
      </c>
      <c r="H17" s="119">
        <f t="shared" si="2"/>
        <v>91.060200000000009</v>
      </c>
      <c r="I17" s="59">
        <v>0</v>
      </c>
      <c r="J17" s="59">
        <v>0</v>
      </c>
      <c r="K17" s="59">
        <v>0</v>
      </c>
      <c r="L17" s="59">
        <v>4</v>
      </c>
      <c r="M17" s="60">
        <f t="shared" si="1"/>
        <v>4</v>
      </c>
      <c r="N17" s="42"/>
      <c r="O17" s="38"/>
      <c r="P17" s="174">
        <f t="shared" si="0"/>
        <v>64818306</v>
      </c>
      <c r="Q17" s="29"/>
    </row>
    <row r="18" spans="1:19" ht="15" customHeight="1" x14ac:dyDescent="0.3">
      <c r="A18" s="54"/>
      <c r="B18" s="55" t="s">
        <v>59</v>
      </c>
      <c r="C18" s="56" t="s">
        <v>27</v>
      </c>
      <c r="D18" s="18">
        <v>113.45</v>
      </c>
      <c r="E18" s="47" t="s">
        <v>36</v>
      </c>
      <c r="F18" s="26">
        <f>50%*D18</f>
        <v>56.725000000000001</v>
      </c>
      <c r="G18" s="26">
        <f>3%*D18</f>
        <v>3.4034999999999997</v>
      </c>
      <c r="H18" s="26">
        <f>SUM(F18:G18)</f>
        <v>60.128500000000003</v>
      </c>
      <c r="I18" s="19">
        <v>0</v>
      </c>
      <c r="J18" s="19"/>
      <c r="K18" s="19">
        <v>2</v>
      </c>
      <c r="L18" s="19"/>
      <c r="M18" s="20">
        <f t="shared" si="1"/>
        <v>2</v>
      </c>
      <c r="N18" s="42"/>
      <c r="O18" s="38"/>
      <c r="P18" s="172">
        <f t="shared" si="0"/>
        <v>5329880.9999999991</v>
      </c>
      <c r="Q18" s="29"/>
    </row>
    <row r="19" spans="1:19" ht="15" customHeight="1" x14ac:dyDescent="0.3">
      <c r="A19" s="54"/>
      <c r="B19" s="55"/>
      <c r="C19" s="56"/>
      <c r="D19" s="26"/>
      <c r="E19" s="47" t="s">
        <v>37</v>
      </c>
      <c r="F19" s="26">
        <f>2%*D18</f>
        <v>2.2690000000000001</v>
      </c>
      <c r="G19" s="26">
        <f>4%*D18</f>
        <v>4.5380000000000003</v>
      </c>
      <c r="H19" s="26">
        <f t="shared" ref="H19:H20" si="3">SUM(F19:G19)</f>
        <v>6.8070000000000004</v>
      </c>
      <c r="I19" s="19">
        <v>0</v>
      </c>
      <c r="J19" s="19"/>
      <c r="K19" s="19">
        <v>2</v>
      </c>
      <c r="L19" s="19">
        <v>1</v>
      </c>
      <c r="M19" s="20">
        <f t="shared" si="1"/>
        <v>3</v>
      </c>
      <c r="N19" s="42"/>
      <c r="O19" s="38"/>
      <c r="P19" s="172">
        <f t="shared" si="0"/>
        <v>7106508</v>
      </c>
      <c r="Q19" s="29"/>
    </row>
    <row r="20" spans="1:19" ht="14.25" customHeight="1" x14ac:dyDescent="0.3">
      <c r="A20" s="54"/>
      <c r="B20" s="55"/>
      <c r="C20" s="56"/>
      <c r="D20" s="26"/>
      <c r="E20" s="47" t="s">
        <v>38</v>
      </c>
      <c r="F20" s="26">
        <f>2%*D18</f>
        <v>2.2690000000000001</v>
      </c>
      <c r="G20" s="26">
        <f>20%*D18</f>
        <v>22.69</v>
      </c>
      <c r="H20" s="26">
        <f t="shared" si="3"/>
        <v>24.959000000000003</v>
      </c>
      <c r="I20" s="19">
        <v>0</v>
      </c>
      <c r="J20" s="19"/>
      <c r="K20" s="19">
        <v>4</v>
      </c>
      <c r="L20" s="19">
        <v>1</v>
      </c>
      <c r="M20" s="20">
        <f t="shared" si="1"/>
        <v>5</v>
      </c>
      <c r="N20" s="42"/>
      <c r="O20" s="38"/>
      <c r="P20" s="172">
        <f t="shared" si="0"/>
        <v>35532540</v>
      </c>
      <c r="Q20" s="29"/>
    </row>
    <row r="21" spans="1:19" ht="18.75" customHeight="1" x14ac:dyDescent="0.3">
      <c r="A21" s="13"/>
      <c r="B21" s="17" t="s">
        <v>60</v>
      </c>
      <c r="C21" s="15" t="s">
        <v>42</v>
      </c>
      <c r="D21" s="18">
        <v>526.28</v>
      </c>
      <c r="E21" s="47" t="s">
        <v>36</v>
      </c>
      <c r="F21" s="26">
        <f>50%*D18</f>
        <v>56.725000000000001</v>
      </c>
      <c r="G21" s="26">
        <f>6%*D21</f>
        <v>31.576799999999999</v>
      </c>
      <c r="H21" s="26">
        <f>SUM(F21:G21)</f>
        <v>88.3018</v>
      </c>
      <c r="I21" s="19">
        <v>0</v>
      </c>
      <c r="J21" s="19"/>
      <c r="K21" s="19"/>
      <c r="L21" s="19">
        <v>4</v>
      </c>
      <c r="M21" s="20">
        <f t="shared" si="1"/>
        <v>4</v>
      </c>
      <c r="N21" s="35"/>
      <c r="O21" s="36"/>
      <c r="P21" s="172">
        <f t="shared" si="0"/>
        <v>49449268.799999997</v>
      </c>
      <c r="Q21" s="29"/>
    </row>
    <row r="22" spans="1:19" ht="18.75" customHeight="1" x14ac:dyDescent="0.3">
      <c r="A22" s="13"/>
      <c r="B22" s="14"/>
      <c r="C22" s="15"/>
      <c r="D22" s="26"/>
      <c r="E22" s="47" t="s">
        <v>37</v>
      </c>
      <c r="F22" s="26">
        <f>43%*D21</f>
        <v>226.3004</v>
      </c>
      <c r="G22" s="26">
        <f>2%*D21</f>
        <v>10.525599999999999</v>
      </c>
      <c r="H22" s="26">
        <f t="shared" ref="H22:H23" si="4">SUM(F22:G22)</f>
        <v>236.82599999999999</v>
      </c>
      <c r="I22" s="19">
        <v>0</v>
      </c>
      <c r="J22" s="19"/>
      <c r="K22" s="19"/>
      <c r="L22" s="19">
        <v>4</v>
      </c>
      <c r="M22" s="20">
        <f t="shared" si="1"/>
        <v>4</v>
      </c>
      <c r="N22" s="35"/>
      <c r="O22" s="36"/>
      <c r="P22" s="172">
        <f t="shared" si="0"/>
        <v>16483089.599999998</v>
      </c>
      <c r="Q22" s="29"/>
    </row>
    <row r="23" spans="1:19" ht="18.75" customHeight="1" x14ac:dyDescent="0.3">
      <c r="A23" s="13"/>
      <c r="B23" s="14"/>
      <c r="C23" s="15"/>
      <c r="D23" s="26"/>
      <c r="E23" s="47" t="s">
        <v>38</v>
      </c>
      <c r="F23" s="26">
        <f>2%*D21</f>
        <v>10.525599999999999</v>
      </c>
      <c r="G23" s="26">
        <f>20%*D21</f>
        <v>105.256</v>
      </c>
      <c r="H23" s="26">
        <f t="shared" si="4"/>
        <v>115.7816</v>
      </c>
      <c r="I23" s="19">
        <v>0</v>
      </c>
      <c r="J23" s="19"/>
      <c r="K23" s="19"/>
      <c r="L23" s="19">
        <v>3</v>
      </c>
      <c r="M23" s="20">
        <f t="shared" si="1"/>
        <v>3</v>
      </c>
      <c r="N23" s="80"/>
      <c r="O23" s="81"/>
      <c r="P23" s="172">
        <f t="shared" si="0"/>
        <v>164830896</v>
      </c>
      <c r="Q23" s="88"/>
    </row>
    <row r="24" spans="1:19" ht="18.75" customHeight="1" x14ac:dyDescent="0.3">
      <c r="A24" s="89"/>
      <c r="B24" s="402" t="s">
        <v>325</v>
      </c>
      <c r="C24" s="403"/>
      <c r="D24" s="73">
        <f>SUM(D9:D17)</f>
        <v>1245.8800000000001</v>
      </c>
      <c r="E24" s="74"/>
      <c r="F24" s="118">
        <f>SUM(F9:F17)</f>
        <v>278.6062</v>
      </c>
      <c r="G24" s="118">
        <f>SUM(G9:G17)</f>
        <v>74.391000000000005</v>
      </c>
      <c r="H24" s="118">
        <f>SUM(H9:H17)</f>
        <v>352.99720000000002</v>
      </c>
      <c r="I24" s="75">
        <f>SUM(I9:I17)</f>
        <v>0</v>
      </c>
      <c r="J24" s="75">
        <f>SUM(J9:J17)</f>
        <v>0</v>
      </c>
      <c r="K24" s="75">
        <f>SUM(K8:K23)</f>
        <v>29</v>
      </c>
      <c r="L24" s="160">
        <f>SUM(L10:L23)</f>
        <v>44</v>
      </c>
      <c r="M24" s="75">
        <f>SUM(M9:M17)</f>
        <v>52</v>
      </c>
      <c r="N24" s="76"/>
      <c r="O24" s="77"/>
      <c r="P24" s="173">
        <f>SUM(P10:P23)</f>
        <v>395228489.39999998</v>
      </c>
      <c r="Q24" s="75"/>
    </row>
    <row r="25" spans="1:19" ht="18.75" customHeight="1" x14ac:dyDescent="0.3">
      <c r="A25" s="63">
        <v>2</v>
      </c>
      <c r="B25" s="64" t="s">
        <v>23</v>
      </c>
      <c r="C25" s="65"/>
      <c r="D25" s="66"/>
      <c r="E25" s="67"/>
      <c r="F25" s="68"/>
      <c r="G25" s="68"/>
      <c r="H25" s="68"/>
      <c r="I25" s="68"/>
      <c r="J25" s="68"/>
      <c r="K25" s="68"/>
      <c r="L25" s="68"/>
      <c r="M25" s="68"/>
      <c r="N25" s="69"/>
      <c r="O25" s="70"/>
      <c r="P25" s="70"/>
      <c r="Q25" s="68"/>
    </row>
    <row r="26" spans="1:19" ht="18.75" customHeight="1" x14ac:dyDescent="0.3">
      <c r="A26" s="13"/>
      <c r="B26" s="14" t="s">
        <v>57</v>
      </c>
      <c r="C26" s="15" t="s">
        <v>22</v>
      </c>
      <c r="D26" s="26">
        <v>202.18</v>
      </c>
      <c r="E26" s="47" t="s">
        <v>40</v>
      </c>
      <c r="F26" s="19">
        <v>0</v>
      </c>
      <c r="G26" s="19">
        <f>1%*D26</f>
        <v>2.0218000000000003</v>
      </c>
      <c r="H26" s="19">
        <f t="shared" ref="H26" si="5">SUM(F26:G26)</f>
        <v>2.0218000000000003</v>
      </c>
      <c r="I26" s="19">
        <v>0</v>
      </c>
      <c r="J26" s="19">
        <v>0</v>
      </c>
      <c r="K26" s="19">
        <v>0</v>
      </c>
      <c r="L26" s="19">
        <v>2</v>
      </c>
      <c r="M26" s="20">
        <f t="shared" ref="M26:M30" si="6">SUM(I26:L26)</f>
        <v>2</v>
      </c>
      <c r="N26" s="37" t="s">
        <v>51</v>
      </c>
      <c r="O26" s="404" t="s">
        <v>279</v>
      </c>
      <c r="P26" s="175">
        <f>G26*0.52*20%*50000000</f>
        <v>10513360.000000004</v>
      </c>
      <c r="Q26" s="16"/>
    </row>
    <row r="27" spans="1:19" ht="18.75" customHeight="1" x14ac:dyDescent="0.3">
      <c r="A27" s="54"/>
      <c r="B27" s="55"/>
      <c r="C27" s="56"/>
      <c r="D27" s="57"/>
      <c r="E27" s="85" t="s">
        <v>251</v>
      </c>
      <c r="F27" s="79"/>
      <c r="G27" s="79">
        <f>1.5%*D26</f>
        <v>3.0327000000000002</v>
      </c>
      <c r="H27" s="79"/>
      <c r="I27" s="19">
        <v>0</v>
      </c>
      <c r="J27" s="19">
        <v>0</v>
      </c>
      <c r="K27" s="19">
        <v>0</v>
      </c>
      <c r="L27" s="19">
        <v>0</v>
      </c>
      <c r="M27" s="20">
        <f t="shared" si="6"/>
        <v>0</v>
      </c>
      <c r="N27" s="37"/>
      <c r="O27" s="404"/>
      <c r="P27" s="175">
        <f>G27*0.52*15%*50000000</f>
        <v>11827530</v>
      </c>
      <c r="Q27" s="16"/>
    </row>
    <row r="28" spans="1:19" ht="18.75" customHeight="1" x14ac:dyDescent="0.3">
      <c r="A28" s="54"/>
      <c r="B28" s="55" t="s">
        <v>58</v>
      </c>
      <c r="C28" s="56" t="s">
        <v>42</v>
      </c>
      <c r="D28" s="57">
        <v>55</v>
      </c>
      <c r="E28" s="47" t="s">
        <v>40</v>
      </c>
      <c r="F28" s="19">
        <v>0</v>
      </c>
      <c r="G28" s="19">
        <f>8%*D28</f>
        <v>4.4000000000000004</v>
      </c>
      <c r="H28" s="19">
        <f t="shared" ref="H28" si="7">SUM(F28:G28)</f>
        <v>4.4000000000000004</v>
      </c>
      <c r="I28" s="19">
        <v>0</v>
      </c>
      <c r="J28" s="19"/>
      <c r="K28" s="19">
        <v>0</v>
      </c>
      <c r="L28" s="19">
        <v>0</v>
      </c>
      <c r="M28" s="20">
        <f t="shared" si="6"/>
        <v>0</v>
      </c>
      <c r="N28" s="37"/>
      <c r="O28" s="404"/>
      <c r="P28" s="175">
        <f>G28*0.52*20%*50000000</f>
        <v>22880000.000000004</v>
      </c>
      <c r="Q28" s="16"/>
      <c r="R28" s="1" t="s">
        <v>333</v>
      </c>
      <c r="S28" s="1" t="s">
        <v>334</v>
      </c>
    </row>
    <row r="29" spans="1:19" ht="18.75" customHeight="1" x14ac:dyDescent="0.3">
      <c r="A29" s="54"/>
      <c r="B29" s="55"/>
      <c r="C29" s="56"/>
      <c r="D29" s="57"/>
      <c r="E29" s="85" t="s">
        <v>250</v>
      </c>
      <c r="F29" s="79"/>
      <c r="G29" s="79">
        <f>1.2%*D28</f>
        <v>0.66</v>
      </c>
      <c r="H29" s="79"/>
      <c r="I29" s="19">
        <v>0</v>
      </c>
      <c r="J29" s="19"/>
      <c r="K29" s="19"/>
      <c r="L29" s="19">
        <v>1</v>
      </c>
      <c r="M29" s="20">
        <f t="shared" si="6"/>
        <v>1</v>
      </c>
      <c r="N29" s="37"/>
      <c r="O29" s="404"/>
      <c r="P29" s="175">
        <f>G29*0.52*15%*50000000</f>
        <v>2574000</v>
      </c>
      <c r="Q29" s="16"/>
    </row>
    <row r="30" spans="1:19" ht="18.75" customHeight="1" x14ac:dyDescent="0.3">
      <c r="A30" s="54"/>
      <c r="B30" s="55" t="s">
        <v>59</v>
      </c>
      <c r="C30" s="56" t="s">
        <v>21</v>
      </c>
      <c r="D30" s="57">
        <v>66.94</v>
      </c>
      <c r="E30" s="47" t="s">
        <v>40</v>
      </c>
      <c r="F30" s="19">
        <v>0</v>
      </c>
      <c r="G30" s="19">
        <f>7%*D30</f>
        <v>4.6858000000000004</v>
      </c>
      <c r="H30" s="19">
        <f t="shared" ref="H30" si="8">SUM(F30:G30)</f>
        <v>4.6858000000000004</v>
      </c>
      <c r="I30" s="19">
        <v>0</v>
      </c>
      <c r="J30" s="19">
        <v>0</v>
      </c>
      <c r="K30" s="19">
        <v>0</v>
      </c>
      <c r="L30" s="19">
        <v>2</v>
      </c>
      <c r="M30" s="20">
        <f t="shared" si="6"/>
        <v>2</v>
      </c>
      <c r="N30" s="95"/>
      <c r="O30" s="399"/>
      <c r="P30" s="175">
        <f>G30*0.52*20%*50000000</f>
        <v>24366160.000000004</v>
      </c>
      <c r="Q30" s="87"/>
    </row>
    <row r="31" spans="1:19" ht="18.75" customHeight="1" x14ac:dyDescent="0.3">
      <c r="A31" s="89"/>
      <c r="B31" s="402" t="s">
        <v>326</v>
      </c>
      <c r="C31" s="403"/>
      <c r="D31" s="73">
        <f>SUM(D25:D30)</f>
        <v>324.12</v>
      </c>
      <c r="E31" s="74"/>
      <c r="F31" s="83">
        <f t="shared" ref="F31:K31" si="9">SUM(F25:F30)</f>
        <v>0</v>
      </c>
      <c r="G31" s="83">
        <f t="shared" si="9"/>
        <v>14.800300000000002</v>
      </c>
      <c r="H31" s="83">
        <f t="shared" si="9"/>
        <v>11.107600000000001</v>
      </c>
      <c r="I31" s="83">
        <f t="shared" si="9"/>
        <v>0</v>
      </c>
      <c r="J31" s="83">
        <f t="shared" si="9"/>
        <v>0</v>
      </c>
      <c r="K31" s="83">
        <f t="shared" si="9"/>
        <v>0</v>
      </c>
      <c r="L31" s="83">
        <f>SUM(L26:L30)</f>
        <v>5</v>
      </c>
      <c r="M31" s="83">
        <f>SUM(M25:M30)</f>
        <v>5</v>
      </c>
      <c r="N31" s="76"/>
      <c r="O31" s="77"/>
      <c r="P31" s="77"/>
      <c r="Q31" s="75"/>
    </row>
    <row r="32" spans="1:19" ht="18.75" customHeight="1" x14ac:dyDescent="0.3">
      <c r="A32" s="63">
        <v>3</v>
      </c>
      <c r="B32" s="64" t="s">
        <v>19</v>
      </c>
      <c r="C32" s="65"/>
      <c r="D32" s="66"/>
      <c r="E32" s="67"/>
      <c r="F32" s="82"/>
      <c r="G32" s="82"/>
      <c r="H32" s="82"/>
      <c r="I32" s="82"/>
      <c r="J32" s="82"/>
      <c r="K32" s="82"/>
      <c r="L32" s="82"/>
      <c r="M32" s="82"/>
      <c r="N32" s="69"/>
      <c r="O32" s="70"/>
      <c r="P32" s="70"/>
      <c r="Q32" s="68"/>
    </row>
    <row r="33" spans="1:17" ht="15.75" customHeight="1" x14ac:dyDescent="0.3">
      <c r="A33" s="13"/>
      <c r="B33" s="14" t="s">
        <v>57</v>
      </c>
      <c r="C33" s="15" t="s">
        <v>24</v>
      </c>
      <c r="D33" s="26">
        <f>1372.4+494</f>
        <v>1866.4</v>
      </c>
      <c r="E33" s="50" t="s">
        <v>52</v>
      </c>
      <c r="F33" s="19">
        <f>5%*D33</f>
        <v>93.320000000000007</v>
      </c>
      <c r="G33" s="26">
        <f>50%*D33</f>
        <v>933.2</v>
      </c>
      <c r="H33" s="26">
        <f>SUM(F33:G33)</f>
        <v>1026.52</v>
      </c>
      <c r="I33" s="19">
        <v>0</v>
      </c>
      <c r="J33" s="19"/>
      <c r="K33" s="19">
        <v>10</v>
      </c>
      <c r="L33" s="19">
        <v>2</v>
      </c>
      <c r="M33" s="19">
        <f>SUM(I33:L33)</f>
        <v>12</v>
      </c>
      <c r="N33" s="35" t="s">
        <v>262</v>
      </c>
      <c r="O33" s="36"/>
      <c r="P33" s="161">
        <f t="shared" ref="P33:P62" si="10">G33*0.815*26%*4000000</f>
        <v>790980320</v>
      </c>
      <c r="Q33" s="16"/>
    </row>
    <row r="34" spans="1:17" ht="15" customHeight="1" x14ac:dyDescent="0.3">
      <c r="A34" s="13"/>
      <c r="B34" s="14"/>
      <c r="C34" s="15"/>
      <c r="D34" s="26"/>
      <c r="E34" s="47" t="s">
        <v>234</v>
      </c>
      <c r="F34" s="19">
        <f>5%*D34</f>
        <v>0</v>
      </c>
      <c r="G34" s="26">
        <f>12%*D33</f>
        <v>223.96799999999999</v>
      </c>
      <c r="H34" s="26">
        <f>F34+G34</f>
        <v>223.96799999999999</v>
      </c>
      <c r="I34" s="19">
        <v>0</v>
      </c>
      <c r="J34" s="19"/>
      <c r="K34" s="19">
        <v>0</v>
      </c>
      <c r="L34" s="19">
        <v>4</v>
      </c>
      <c r="M34" s="19">
        <f>SUM(I34:L34)</f>
        <v>4</v>
      </c>
      <c r="N34" s="35" t="s">
        <v>263</v>
      </c>
      <c r="O34" s="36"/>
      <c r="P34" s="161">
        <f t="shared" si="10"/>
        <v>189835276.79999998</v>
      </c>
      <c r="Q34" s="16"/>
    </row>
    <row r="35" spans="1:17" ht="18.75" customHeight="1" x14ac:dyDescent="0.3">
      <c r="A35" s="13"/>
      <c r="B35" s="14" t="s">
        <v>58</v>
      </c>
      <c r="C35" s="15" t="s">
        <v>25</v>
      </c>
      <c r="D35" s="26">
        <f>994.7+363.2</f>
        <v>1357.9</v>
      </c>
      <c r="E35" s="50" t="s">
        <v>52</v>
      </c>
      <c r="F35" s="19">
        <f>5%*D35</f>
        <v>67.89500000000001</v>
      </c>
      <c r="G35" s="26">
        <f>10%*D35</f>
        <v>135.79000000000002</v>
      </c>
      <c r="H35" s="26">
        <f t="shared" ref="H35:H61" si="11">SUM(F35:G35)</f>
        <v>203.68500000000003</v>
      </c>
      <c r="I35" s="19">
        <v>0</v>
      </c>
      <c r="J35" s="19"/>
      <c r="K35" s="19">
        <v>0</v>
      </c>
      <c r="L35" s="19">
        <v>0</v>
      </c>
      <c r="M35" s="19">
        <f t="shared" ref="M35:M62" si="12">SUM(I35:L35)</f>
        <v>0</v>
      </c>
      <c r="N35" s="35" t="s">
        <v>264</v>
      </c>
      <c r="O35" s="36"/>
      <c r="P35" s="161">
        <f t="shared" si="10"/>
        <v>115095604.00000001</v>
      </c>
      <c r="Q35" s="16"/>
    </row>
    <row r="36" spans="1:17" ht="17.25" customHeight="1" x14ac:dyDescent="0.3">
      <c r="A36" s="13"/>
      <c r="B36" s="14" t="s">
        <v>59</v>
      </c>
      <c r="C36" s="15" t="s">
        <v>26</v>
      </c>
      <c r="D36" s="26">
        <f>976.5+338</f>
        <v>1314.5</v>
      </c>
      <c r="E36" s="50" t="s">
        <v>52</v>
      </c>
      <c r="F36" s="19">
        <f>5%*D36</f>
        <v>65.725000000000009</v>
      </c>
      <c r="G36" s="26">
        <f>18%*D36</f>
        <v>236.60999999999999</v>
      </c>
      <c r="H36" s="26">
        <f t="shared" si="11"/>
        <v>302.33499999999998</v>
      </c>
      <c r="I36" s="19"/>
      <c r="J36" s="19"/>
      <c r="K36" s="19">
        <v>0</v>
      </c>
      <c r="L36" s="19">
        <v>5</v>
      </c>
      <c r="M36" s="19">
        <f t="shared" si="12"/>
        <v>5</v>
      </c>
      <c r="N36" s="35" t="s">
        <v>265</v>
      </c>
      <c r="O36" s="36" t="s">
        <v>266</v>
      </c>
      <c r="P36" s="161">
        <f t="shared" si="10"/>
        <v>200550636</v>
      </c>
      <c r="Q36" s="16"/>
    </row>
    <row r="37" spans="1:17" ht="15" customHeight="1" x14ac:dyDescent="0.3">
      <c r="A37" s="13"/>
      <c r="B37" s="14" t="s">
        <v>60</v>
      </c>
      <c r="C37" s="15" t="s">
        <v>55</v>
      </c>
      <c r="D37" s="26">
        <f>291.6+46.93</f>
        <v>338.53000000000003</v>
      </c>
      <c r="E37" s="50" t="s">
        <v>52</v>
      </c>
      <c r="F37" s="19">
        <f>5%*D37</f>
        <v>16.926500000000001</v>
      </c>
      <c r="G37" s="26">
        <f>17%*D37</f>
        <v>57.550100000000008</v>
      </c>
      <c r="H37" s="26">
        <f t="shared" si="11"/>
        <v>74.476600000000005</v>
      </c>
      <c r="I37" s="19">
        <v>0</v>
      </c>
      <c r="J37" s="19">
        <v>0</v>
      </c>
      <c r="K37" s="19">
        <v>0</v>
      </c>
      <c r="L37" s="19">
        <v>0</v>
      </c>
      <c r="M37" s="19">
        <f t="shared" si="12"/>
        <v>0</v>
      </c>
      <c r="N37" s="35"/>
      <c r="O37" s="36" t="s">
        <v>267</v>
      </c>
      <c r="P37" s="161">
        <f t="shared" si="10"/>
        <v>48779464.760000005</v>
      </c>
      <c r="Q37" s="16"/>
    </row>
    <row r="38" spans="1:17" ht="18.75" customHeight="1" x14ac:dyDescent="0.3">
      <c r="A38" s="13"/>
      <c r="B38" s="14"/>
      <c r="C38" s="15"/>
      <c r="D38" s="26"/>
      <c r="E38" s="47" t="s">
        <v>235</v>
      </c>
      <c r="F38" s="26">
        <f>4%*D37</f>
        <v>13.541200000000002</v>
      </c>
      <c r="G38" s="26">
        <f>15%*D37</f>
        <v>50.779500000000006</v>
      </c>
      <c r="H38" s="26">
        <f>SUM(F38:G38)</f>
        <v>64.320700000000002</v>
      </c>
      <c r="I38" s="19"/>
      <c r="J38" s="19"/>
      <c r="K38" s="19"/>
      <c r="L38" s="19">
        <v>5</v>
      </c>
      <c r="M38" s="19">
        <f>SUM(I38:L38)</f>
        <v>5</v>
      </c>
      <c r="N38" s="35"/>
      <c r="O38" s="36" t="s">
        <v>268</v>
      </c>
      <c r="P38" s="161">
        <f t="shared" si="10"/>
        <v>43040704.20000001</v>
      </c>
      <c r="Q38" s="16"/>
    </row>
    <row r="39" spans="1:17" ht="15" customHeight="1" x14ac:dyDescent="0.3">
      <c r="A39" s="13"/>
      <c r="B39" s="14"/>
      <c r="C39" s="15"/>
      <c r="D39" s="26"/>
      <c r="E39" s="47" t="s">
        <v>234</v>
      </c>
      <c r="F39" s="26"/>
      <c r="G39" s="26">
        <f>12%*D37</f>
        <v>40.623600000000003</v>
      </c>
      <c r="H39" s="26">
        <f>F39+G39</f>
        <v>40.623600000000003</v>
      </c>
      <c r="I39" s="19"/>
      <c r="J39" s="19"/>
      <c r="K39" s="19"/>
      <c r="L39" s="19"/>
      <c r="M39" s="19"/>
      <c r="N39" s="35"/>
      <c r="O39" s="36" t="s">
        <v>269</v>
      </c>
      <c r="P39" s="161">
        <f t="shared" si="10"/>
        <v>34432563.360000007</v>
      </c>
      <c r="Q39" s="16"/>
    </row>
    <row r="40" spans="1:17" ht="14.25" customHeight="1" x14ac:dyDescent="0.3">
      <c r="A40" s="13"/>
      <c r="B40" s="14" t="s">
        <v>61</v>
      </c>
      <c r="C40" s="15" t="s">
        <v>27</v>
      </c>
      <c r="D40" s="26">
        <f>831.5+161.25</f>
        <v>992.75</v>
      </c>
      <c r="E40" s="50" t="s">
        <v>52</v>
      </c>
      <c r="F40" s="19">
        <v>0</v>
      </c>
      <c r="G40" s="26">
        <f>33%*D40</f>
        <v>327.60750000000002</v>
      </c>
      <c r="H40" s="26">
        <f t="shared" si="11"/>
        <v>327.60750000000002</v>
      </c>
      <c r="I40" s="19">
        <v>0</v>
      </c>
      <c r="J40" s="19">
        <v>0</v>
      </c>
      <c r="K40" s="19">
        <v>0</v>
      </c>
      <c r="L40" s="19">
        <v>7</v>
      </c>
      <c r="M40" s="19">
        <f t="shared" si="12"/>
        <v>7</v>
      </c>
      <c r="N40" s="35"/>
      <c r="O40" s="36" t="s">
        <v>270</v>
      </c>
      <c r="P40" s="161">
        <f t="shared" si="10"/>
        <v>277680117</v>
      </c>
      <c r="Q40" s="16"/>
    </row>
    <row r="41" spans="1:17" ht="15" customHeight="1" x14ac:dyDescent="0.3">
      <c r="A41" s="13"/>
      <c r="B41" s="14" t="s">
        <v>62</v>
      </c>
      <c r="C41" s="15" t="s">
        <v>28</v>
      </c>
      <c r="D41" s="26">
        <f>868+618.6</f>
        <v>1486.6</v>
      </c>
      <c r="E41" s="50" t="s">
        <v>52</v>
      </c>
      <c r="F41" s="19">
        <v>0</v>
      </c>
      <c r="G41" s="26">
        <f>15%*D41</f>
        <v>222.98999999999998</v>
      </c>
      <c r="H41" s="26">
        <f t="shared" si="11"/>
        <v>222.98999999999998</v>
      </c>
      <c r="I41" s="19">
        <v>0</v>
      </c>
      <c r="J41" s="19">
        <v>0</v>
      </c>
      <c r="K41" s="19">
        <v>5</v>
      </c>
      <c r="L41" s="19">
        <v>5</v>
      </c>
      <c r="M41" s="19">
        <f t="shared" si="12"/>
        <v>10</v>
      </c>
      <c r="N41" s="35"/>
      <c r="O41" s="36"/>
      <c r="P41" s="161">
        <f t="shared" si="10"/>
        <v>189006323.99999997</v>
      </c>
      <c r="Q41" s="16"/>
    </row>
    <row r="42" spans="1:17" ht="15" customHeight="1" x14ac:dyDescent="0.3">
      <c r="A42" s="13"/>
      <c r="B42" s="14" t="s">
        <v>63</v>
      </c>
      <c r="C42" s="15" t="s">
        <v>29</v>
      </c>
      <c r="D42" s="26">
        <f>1546+278.5</f>
        <v>1824.5</v>
      </c>
      <c r="E42" s="50" t="s">
        <v>52</v>
      </c>
      <c r="F42" s="19">
        <v>0</v>
      </c>
      <c r="G42" s="26">
        <f>20%*D42</f>
        <v>364.90000000000003</v>
      </c>
      <c r="H42" s="26">
        <f t="shared" si="11"/>
        <v>364.90000000000003</v>
      </c>
      <c r="I42" s="19">
        <v>0</v>
      </c>
      <c r="J42" s="19">
        <v>0</v>
      </c>
      <c r="K42" s="19">
        <v>0</v>
      </c>
      <c r="L42" s="19">
        <v>0</v>
      </c>
      <c r="M42" s="19">
        <f t="shared" si="12"/>
        <v>0</v>
      </c>
      <c r="N42" s="35"/>
      <c r="O42" s="36"/>
      <c r="P42" s="161">
        <f t="shared" si="10"/>
        <v>309289240</v>
      </c>
      <c r="Q42" s="16"/>
    </row>
    <row r="43" spans="1:17" ht="14.25" customHeight="1" x14ac:dyDescent="0.3">
      <c r="A43" s="13"/>
      <c r="B43" s="14" t="s">
        <v>64</v>
      </c>
      <c r="C43" s="15" t="s">
        <v>56</v>
      </c>
      <c r="D43" s="26">
        <f>156.4+34.9</f>
        <v>191.3</v>
      </c>
      <c r="E43" s="50" t="s">
        <v>52</v>
      </c>
      <c r="F43" s="19">
        <v>0</v>
      </c>
      <c r="G43" s="26">
        <f>13%*D43</f>
        <v>24.869000000000003</v>
      </c>
      <c r="H43" s="26">
        <f t="shared" si="11"/>
        <v>24.869000000000003</v>
      </c>
      <c r="I43" s="19">
        <v>0</v>
      </c>
      <c r="J43" s="19"/>
      <c r="K43" s="19"/>
      <c r="L43" s="19">
        <v>0</v>
      </c>
      <c r="M43" s="19">
        <f t="shared" si="12"/>
        <v>0</v>
      </c>
      <c r="N43" s="35"/>
      <c r="O43" s="36"/>
      <c r="P43" s="161">
        <f t="shared" si="10"/>
        <v>21078964.399999999</v>
      </c>
      <c r="Q43" s="16"/>
    </row>
    <row r="44" spans="1:17" ht="15" customHeight="1" x14ac:dyDescent="0.3">
      <c r="A44" s="13"/>
      <c r="B44" s="14" t="s">
        <v>65</v>
      </c>
      <c r="C44" s="15" t="s">
        <v>30</v>
      </c>
      <c r="D44" s="26">
        <f>1499.7+565.1</f>
        <v>2064.8000000000002</v>
      </c>
      <c r="E44" s="50" t="s">
        <v>52</v>
      </c>
      <c r="F44" s="19">
        <v>0</v>
      </c>
      <c r="G44" s="26">
        <f>12%*D44</f>
        <v>247.77600000000001</v>
      </c>
      <c r="H44" s="26">
        <f t="shared" si="11"/>
        <v>247.77600000000001</v>
      </c>
      <c r="I44" s="19">
        <v>0</v>
      </c>
      <c r="J44" s="19">
        <v>0</v>
      </c>
      <c r="K44" s="19">
        <v>0</v>
      </c>
      <c r="L44" s="19">
        <v>0</v>
      </c>
      <c r="M44" s="19">
        <f t="shared" si="12"/>
        <v>0</v>
      </c>
      <c r="N44" s="35"/>
      <c r="O44" s="36"/>
      <c r="P44" s="161">
        <f t="shared" si="10"/>
        <v>210014937.60000002</v>
      </c>
      <c r="Q44" s="16"/>
    </row>
    <row r="45" spans="1:17" ht="14.25" customHeight="1" x14ac:dyDescent="0.3">
      <c r="A45" s="13"/>
      <c r="B45" s="14" t="s">
        <v>66</v>
      </c>
      <c r="C45" s="15" t="s">
        <v>31</v>
      </c>
      <c r="D45" s="26">
        <f>1207+389</f>
        <v>1596</v>
      </c>
      <c r="E45" s="50" t="s">
        <v>52</v>
      </c>
      <c r="F45" s="19">
        <v>0</v>
      </c>
      <c r="G45" s="26">
        <f>11%*D45</f>
        <v>175.56</v>
      </c>
      <c r="H45" s="26">
        <f t="shared" si="11"/>
        <v>175.56</v>
      </c>
      <c r="I45" s="19">
        <v>0</v>
      </c>
      <c r="J45" s="19">
        <v>0</v>
      </c>
      <c r="K45" s="19">
        <v>0</v>
      </c>
      <c r="L45" s="19">
        <v>0</v>
      </c>
      <c r="M45" s="19">
        <f t="shared" si="12"/>
        <v>0</v>
      </c>
      <c r="N45" s="35"/>
      <c r="O45" s="36"/>
      <c r="P45" s="161">
        <f t="shared" si="10"/>
        <v>148804656</v>
      </c>
      <c r="Q45" s="16"/>
    </row>
    <row r="46" spans="1:17" ht="13.5" customHeight="1" x14ac:dyDescent="0.3">
      <c r="A46" s="13"/>
      <c r="B46" s="14" t="s">
        <v>67</v>
      </c>
      <c r="C46" s="15" t="s">
        <v>32</v>
      </c>
      <c r="D46" s="26">
        <f>998.9+79.5</f>
        <v>1078.4000000000001</v>
      </c>
      <c r="E46" s="50" t="s">
        <v>52</v>
      </c>
      <c r="F46" s="19">
        <v>0</v>
      </c>
      <c r="G46" s="26">
        <f>15%*D46</f>
        <v>161.76000000000002</v>
      </c>
      <c r="H46" s="26">
        <f t="shared" si="11"/>
        <v>161.76000000000002</v>
      </c>
      <c r="I46" s="19">
        <v>0</v>
      </c>
      <c r="J46" s="19">
        <v>0</v>
      </c>
      <c r="K46" s="19">
        <v>0</v>
      </c>
      <c r="L46" s="19">
        <v>0</v>
      </c>
      <c r="M46" s="19">
        <f t="shared" si="12"/>
        <v>0</v>
      </c>
      <c r="N46" s="35"/>
      <c r="O46" s="36"/>
      <c r="P46" s="161">
        <f t="shared" si="10"/>
        <v>137107776.00000003</v>
      </c>
      <c r="Q46" s="16"/>
    </row>
    <row r="47" spans="1:17" ht="15.75" customHeight="1" x14ac:dyDescent="0.3">
      <c r="A47" s="13"/>
      <c r="B47" s="14" t="s">
        <v>68</v>
      </c>
      <c r="C47" s="15" t="s">
        <v>33</v>
      </c>
      <c r="D47" s="26">
        <f>1304+57.5</f>
        <v>1361.5</v>
      </c>
      <c r="E47" s="50" t="s">
        <v>52</v>
      </c>
      <c r="F47" s="19">
        <v>0</v>
      </c>
      <c r="G47" s="26">
        <f>11%*D47</f>
        <v>149.76500000000001</v>
      </c>
      <c r="H47" s="26">
        <f t="shared" si="11"/>
        <v>149.76500000000001</v>
      </c>
      <c r="I47" s="19">
        <v>0</v>
      </c>
      <c r="J47" s="19"/>
      <c r="K47" s="19">
        <v>0</v>
      </c>
      <c r="L47" s="19">
        <v>0</v>
      </c>
      <c r="M47" s="19">
        <f t="shared" si="12"/>
        <v>0</v>
      </c>
      <c r="N47" s="35"/>
      <c r="O47" s="36"/>
      <c r="P47" s="161">
        <f t="shared" si="10"/>
        <v>126940814</v>
      </c>
      <c r="Q47" s="16"/>
    </row>
    <row r="48" spans="1:17" ht="14.25" customHeight="1" x14ac:dyDescent="0.3">
      <c r="A48" s="13"/>
      <c r="B48" s="14" t="s">
        <v>69</v>
      </c>
      <c r="C48" s="15" t="s">
        <v>34</v>
      </c>
      <c r="D48" s="26">
        <f>1784.1+362</f>
        <v>2146.1</v>
      </c>
      <c r="E48" s="50" t="s">
        <v>52</v>
      </c>
      <c r="F48" s="19">
        <v>0</v>
      </c>
      <c r="G48" s="26">
        <f>21%*D48</f>
        <v>450.68099999999998</v>
      </c>
      <c r="H48" s="26">
        <f t="shared" si="11"/>
        <v>450.68099999999998</v>
      </c>
      <c r="I48" s="19">
        <v>0</v>
      </c>
      <c r="J48" s="19"/>
      <c r="K48" s="19"/>
      <c r="L48" s="19">
        <v>6</v>
      </c>
      <c r="M48" s="19">
        <f t="shared" si="12"/>
        <v>6</v>
      </c>
      <c r="N48" s="35"/>
      <c r="O48" s="36"/>
      <c r="P48" s="161">
        <f t="shared" si="10"/>
        <v>381997215.60000002</v>
      </c>
      <c r="Q48" s="16"/>
    </row>
    <row r="49" spans="1:17" ht="13.5" customHeight="1" x14ac:dyDescent="0.3">
      <c r="A49" s="13"/>
      <c r="B49" s="14" t="s">
        <v>70</v>
      </c>
      <c r="C49" s="15" t="s">
        <v>35</v>
      </c>
      <c r="D49" s="26">
        <f>1557+181.5</f>
        <v>1738.5</v>
      </c>
      <c r="E49" s="50" t="s">
        <v>52</v>
      </c>
      <c r="F49" s="19">
        <v>0</v>
      </c>
      <c r="G49" s="26">
        <f>12%*D49</f>
        <v>208.62</v>
      </c>
      <c r="H49" s="26">
        <f t="shared" si="11"/>
        <v>208.62</v>
      </c>
      <c r="I49" s="19">
        <v>0</v>
      </c>
      <c r="J49" s="19">
        <v>0</v>
      </c>
      <c r="K49" s="19">
        <v>0</v>
      </c>
      <c r="L49" s="19">
        <v>0</v>
      </c>
      <c r="M49" s="19">
        <f t="shared" si="12"/>
        <v>0</v>
      </c>
      <c r="N49" s="35"/>
      <c r="O49" s="36"/>
      <c r="P49" s="161">
        <f t="shared" si="10"/>
        <v>176826312</v>
      </c>
      <c r="Q49" s="16"/>
    </row>
    <row r="50" spans="1:17" ht="18.75" customHeight="1" x14ac:dyDescent="0.3">
      <c r="A50" s="13"/>
      <c r="B50" s="14" t="s">
        <v>71</v>
      </c>
      <c r="C50" s="15" t="s">
        <v>21</v>
      </c>
      <c r="D50" s="26">
        <f>1940+114</f>
        <v>2054</v>
      </c>
      <c r="E50" s="50" t="s">
        <v>52</v>
      </c>
      <c r="F50" s="19">
        <v>0</v>
      </c>
      <c r="G50" s="26">
        <f>15%*D50</f>
        <v>308.09999999999997</v>
      </c>
      <c r="H50" s="26">
        <f t="shared" si="11"/>
        <v>308.09999999999997</v>
      </c>
      <c r="I50" s="19">
        <v>0</v>
      </c>
      <c r="J50" s="19">
        <v>0</v>
      </c>
      <c r="K50" s="19">
        <v>0</v>
      </c>
      <c r="L50" s="19">
        <v>0</v>
      </c>
      <c r="M50" s="19">
        <f t="shared" si="12"/>
        <v>0</v>
      </c>
      <c r="N50" s="35"/>
      <c r="O50" s="36"/>
      <c r="P50" s="161">
        <f t="shared" si="10"/>
        <v>261145560</v>
      </c>
      <c r="Q50" s="16"/>
    </row>
    <row r="51" spans="1:17" ht="14.25" customHeight="1" x14ac:dyDescent="0.3">
      <c r="A51" s="13"/>
      <c r="B51" s="14" t="s">
        <v>72</v>
      </c>
      <c r="C51" s="15" t="s">
        <v>42</v>
      </c>
      <c r="D51" s="26">
        <f>773.1+303.8</f>
        <v>1076.9000000000001</v>
      </c>
      <c r="E51" s="50" t="s">
        <v>52</v>
      </c>
      <c r="F51" s="19">
        <v>0</v>
      </c>
      <c r="G51" s="26">
        <f>15%*D51</f>
        <v>161.535</v>
      </c>
      <c r="H51" s="26">
        <f t="shared" si="11"/>
        <v>161.535</v>
      </c>
      <c r="I51" s="19">
        <v>0</v>
      </c>
      <c r="J51" s="19">
        <v>0</v>
      </c>
      <c r="K51" s="19">
        <v>0</v>
      </c>
      <c r="L51" s="19">
        <v>4</v>
      </c>
      <c r="M51" s="19">
        <f t="shared" si="12"/>
        <v>4</v>
      </c>
      <c r="N51" s="35"/>
      <c r="O51" s="36"/>
      <c r="P51" s="161">
        <f t="shared" si="10"/>
        <v>136917065.99999997</v>
      </c>
      <c r="Q51" s="16"/>
    </row>
    <row r="52" spans="1:17" ht="18" customHeight="1" x14ac:dyDescent="0.3">
      <c r="A52" s="13"/>
      <c r="B52" s="14" t="s">
        <v>73</v>
      </c>
      <c r="C52" s="15" t="s">
        <v>105</v>
      </c>
      <c r="D52" s="26">
        <f>153.8+8.7</f>
        <v>162.5</v>
      </c>
      <c r="E52" s="50" t="s">
        <v>52</v>
      </c>
      <c r="F52" s="19">
        <v>0</v>
      </c>
      <c r="G52" s="26">
        <f>10%*D52</f>
        <v>16.25</v>
      </c>
      <c r="H52" s="26">
        <f t="shared" si="11"/>
        <v>16.25</v>
      </c>
      <c r="I52" s="19">
        <v>0</v>
      </c>
      <c r="J52" s="19">
        <v>0</v>
      </c>
      <c r="K52" s="19">
        <v>0</v>
      </c>
      <c r="L52" s="19">
        <v>4</v>
      </c>
      <c r="M52" s="19">
        <f t="shared" si="12"/>
        <v>4</v>
      </c>
      <c r="N52" s="35"/>
      <c r="O52" s="36"/>
      <c r="P52" s="161">
        <f t="shared" si="10"/>
        <v>13773499.999999998</v>
      </c>
      <c r="Q52" s="16"/>
    </row>
    <row r="53" spans="1:17" ht="16.5" customHeight="1" x14ac:dyDescent="0.3">
      <c r="A53" s="13"/>
      <c r="B53" s="14" t="s">
        <v>74</v>
      </c>
      <c r="C53" s="15" t="s">
        <v>110</v>
      </c>
      <c r="D53" s="26">
        <f>695+48.2</f>
        <v>743.2</v>
      </c>
      <c r="E53" s="50" t="s">
        <v>52</v>
      </c>
      <c r="F53" s="19">
        <v>0</v>
      </c>
      <c r="G53" s="26">
        <f>11%*D53</f>
        <v>81.75200000000001</v>
      </c>
      <c r="H53" s="26">
        <f t="shared" si="11"/>
        <v>81.75200000000001</v>
      </c>
      <c r="I53" s="19">
        <v>0</v>
      </c>
      <c r="J53" s="19">
        <v>0</v>
      </c>
      <c r="K53" s="19">
        <v>0</v>
      </c>
      <c r="L53" s="19">
        <v>0</v>
      </c>
      <c r="M53" s="19">
        <f t="shared" si="12"/>
        <v>0</v>
      </c>
      <c r="N53" s="35"/>
      <c r="O53" s="36"/>
      <c r="P53" s="161">
        <f t="shared" si="10"/>
        <v>69292995.200000003</v>
      </c>
      <c r="Q53" s="16"/>
    </row>
    <row r="54" spans="1:17" ht="15.75" customHeight="1" x14ac:dyDescent="0.3">
      <c r="A54" s="13"/>
      <c r="B54" s="14" t="s">
        <v>75</v>
      </c>
      <c r="C54" s="15" t="s">
        <v>112</v>
      </c>
      <c r="D54" s="26">
        <f>375+14</f>
        <v>389</v>
      </c>
      <c r="E54" s="50" t="s">
        <v>52</v>
      </c>
      <c r="F54" s="19">
        <v>0</v>
      </c>
      <c r="G54" s="26">
        <f>10%*D54</f>
        <v>38.900000000000006</v>
      </c>
      <c r="H54" s="26">
        <f t="shared" si="11"/>
        <v>38.900000000000006</v>
      </c>
      <c r="I54" s="19">
        <v>0</v>
      </c>
      <c r="J54" s="19">
        <v>0</v>
      </c>
      <c r="K54" s="19">
        <v>0</v>
      </c>
      <c r="L54" s="19">
        <v>0</v>
      </c>
      <c r="M54" s="19">
        <f t="shared" si="12"/>
        <v>0</v>
      </c>
      <c r="N54" s="35"/>
      <c r="O54" s="36"/>
      <c r="P54" s="161">
        <f t="shared" si="10"/>
        <v>32971640</v>
      </c>
      <c r="Q54" s="16"/>
    </row>
    <row r="55" spans="1:17" ht="15.75" customHeight="1" x14ac:dyDescent="0.3">
      <c r="A55" s="13"/>
      <c r="B55" s="14" t="s">
        <v>104</v>
      </c>
      <c r="C55" s="15" t="s">
        <v>114</v>
      </c>
      <c r="D55" s="26">
        <f>73.5</f>
        <v>73.5</v>
      </c>
      <c r="E55" s="50" t="s">
        <v>52</v>
      </c>
      <c r="F55" s="19">
        <v>0</v>
      </c>
      <c r="G55" s="26">
        <f>10%*D55</f>
        <v>7.3500000000000005</v>
      </c>
      <c r="H55" s="26">
        <f t="shared" si="11"/>
        <v>7.3500000000000005</v>
      </c>
      <c r="I55" s="19">
        <v>0</v>
      </c>
      <c r="J55" s="19">
        <v>0</v>
      </c>
      <c r="K55" s="19">
        <v>0</v>
      </c>
      <c r="L55" s="19">
        <v>0</v>
      </c>
      <c r="M55" s="19">
        <f t="shared" si="12"/>
        <v>0</v>
      </c>
      <c r="N55" s="35"/>
      <c r="O55" s="36"/>
      <c r="P55" s="161">
        <f t="shared" si="10"/>
        <v>6229859.9999999991</v>
      </c>
      <c r="Q55" s="16"/>
    </row>
    <row r="56" spans="1:17" ht="14.25" customHeight="1" x14ac:dyDescent="0.3">
      <c r="A56" s="13"/>
      <c r="B56" s="14" t="s">
        <v>106</v>
      </c>
      <c r="C56" s="15" t="s">
        <v>22</v>
      </c>
      <c r="D56" s="26">
        <f>1130+101</f>
        <v>1231</v>
      </c>
      <c r="E56" s="50" t="s">
        <v>52</v>
      </c>
      <c r="F56" s="19">
        <v>0</v>
      </c>
      <c r="G56" s="26">
        <f>15%*D56</f>
        <v>184.65</v>
      </c>
      <c r="H56" s="26">
        <f t="shared" si="11"/>
        <v>184.65</v>
      </c>
      <c r="I56" s="19">
        <v>0</v>
      </c>
      <c r="J56" s="19">
        <v>0</v>
      </c>
      <c r="K56" s="19">
        <v>4</v>
      </c>
      <c r="L56" s="19">
        <v>0</v>
      </c>
      <c r="M56" s="19">
        <f t="shared" si="12"/>
        <v>4</v>
      </c>
      <c r="N56" s="35"/>
      <c r="O56" s="36"/>
      <c r="P56" s="161">
        <f t="shared" si="10"/>
        <v>156509339.99999997</v>
      </c>
      <c r="Q56" s="16"/>
    </row>
    <row r="57" spans="1:17" ht="15" customHeight="1" x14ac:dyDescent="0.3">
      <c r="A57" s="13"/>
      <c r="B57" s="14" t="s">
        <v>108</v>
      </c>
      <c r="C57" s="15" t="s">
        <v>180</v>
      </c>
      <c r="D57" s="26">
        <f>134.8+5</f>
        <v>139.80000000000001</v>
      </c>
      <c r="E57" s="47" t="s">
        <v>52</v>
      </c>
      <c r="F57" s="19">
        <f>5%*D57</f>
        <v>6.9900000000000011</v>
      </c>
      <c r="G57" s="26">
        <f>15%*D57</f>
        <v>20.970000000000002</v>
      </c>
      <c r="H57" s="26">
        <f t="shared" si="11"/>
        <v>27.960000000000004</v>
      </c>
      <c r="I57" s="19">
        <v>0</v>
      </c>
      <c r="J57" s="19">
        <v>0</v>
      </c>
      <c r="K57" s="19">
        <v>0</v>
      </c>
      <c r="L57" s="19">
        <v>0</v>
      </c>
      <c r="M57" s="19">
        <f t="shared" si="12"/>
        <v>0</v>
      </c>
      <c r="N57" s="35"/>
      <c r="O57" s="36"/>
      <c r="P57" s="161">
        <f t="shared" si="10"/>
        <v>17774172</v>
      </c>
      <c r="Q57" s="16"/>
    </row>
    <row r="58" spans="1:17" ht="16.5" customHeight="1" x14ac:dyDescent="0.3">
      <c r="A58" s="13"/>
      <c r="B58" s="14" t="s">
        <v>109</v>
      </c>
      <c r="C58" s="15" t="s">
        <v>43</v>
      </c>
      <c r="D58" s="26">
        <f>1189+216.6</f>
        <v>1405.6</v>
      </c>
      <c r="E58" s="50" t="s">
        <v>52</v>
      </c>
      <c r="F58" s="19">
        <v>0</v>
      </c>
      <c r="G58" s="26">
        <f>20%*D58</f>
        <v>281.12</v>
      </c>
      <c r="H58" s="26">
        <f t="shared" si="11"/>
        <v>281.12</v>
      </c>
      <c r="I58" s="19">
        <v>0</v>
      </c>
      <c r="J58" s="19">
        <v>0</v>
      </c>
      <c r="K58" s="19">
        <v>0</v>
      </c>
      <c r="L58" s="19">
        <v>0</v>
      </c>
      <c r="M58" s="19">
        <f t="shared" si="12"/>
        <v>0</v>
      </c>
      <c r="N58" s="35"/>
      <c r="O58" s="36"/>
      <c r="P58" s="161">
        <f t="shared" si="10"/>
        <v>238277312</v>
      </c>
      <c r="Q58" s="16"/>
    </row>
    <row r="59" spans="1:17" ht="14.25" customHeight="1" x14ac:dyDescent="0.3">
      <c r="A59" s="13"/>
      <c r="B59" s="55" t="s">
        <v>111</v>
      </c>
      <c r="C59" s="56" t="s">
        <v>44</v>
      </c>
      <c r="D59" s="57">
        <f>1396.6+127</f>
        <v>1523.6</v>
      </c>
      <c r="E59" s="78" t="s">
        <v>52</v>
      </c>
      <c r="F59" s="19">
        <f>5%*D59</f>
        <v>76.179999999999993</v>
      </c>
      <c r="G59" s="26">
        <f>15%*D59</f>
        <v>228.54</v>
      </c>
      <c r="H59" s="26">
        <f t="shared" si="11"/>
        <v>304.71999999999997</v>
      </c>
      <c r="I59" s="19">
        <v>0</v>
      </c>
      <c r="J59" s="19">
        <v>0</v>
      </c>
      <c r="K59" s="19">
        <v>0</v>
      </c>
      <c r="L59" s="19">
        <v>10</v>
      </c>
      <c r="M59" s="19">
        <f t="shared" si="12"/>
        <v>10</v>
      </c>
      <c r="N59" s="35"/>
      <c r="O59" s="36"/>
      <c r="P59" s="161">
        <f t="shared" si="10"/>
        <v>193710504</v>
      </c>
      <c r="Q59" s="16"/>
    </row>
    <row r="60" spans="1:17" ht="14.25" customHeight="1" x14ac:dyDescent="0.3">
      <c r="A60" s="13"/>
      <c r="B60" s="14" t="s">
        <v>74</v>
      </c>
      <c r="C60" s="15" t="s">
        <v>43</v>
      </c>
      <c r="D60" s="26">
        <v>1189</v>
      </c>
      <c r="E60" s="50" t="s">
        <v>52</v>
      </c>
      <c r="F60" s="19">
        <v>0</v>
      </c>
      <c r="G60" s="26">
        <f>15%*D60</f>
        <v>178.35</v>
      </c>
      <c r="H60" s="26">
        <f t="shared" si="11"/>
        <v>178.35</v>
      </c>
      <c r="I60" s="19">
        <v>0</v>
      </c>
      <c r="J60" s="19"/>
      <c r="K60" s="19">
        <v>6</v>
      </c>
      <c r="L60" s="19">
        <v>5</v>
      </c>
      <c r="M60" s="19">
        <f t="shared" si="12"/>
        <v>11</v>
      </c>
      <c r="N60" s="35"/>
      <c r="O60" s="36"/>
      <c r="P60" s="161">
        <f t="shared" si="10"/>
        <v>151169460</v>
      </c>
      <c r="Q60" s="16"/>
    </row>
    <row r="61" spans="1:17" ht="18.75" customHeight="1" x14ac:dyDescent="0.3">
      <c r="A61" s="54"/>
      <c r="B61" s="55" t="s">
        <v>75</v>
      </c>
      <c r="C61" s="56" t="s">
        <v>44</v>
      </c>
      <c r="D61" s="57">
        <v>1391</v>
      </c>
      <c r="E61" s="78" t="s">
        <v>52</v>
      </c>
      <c r="F61" s="19">
        <f>5%*D61</f>
        <v>69.55</v>
      </c>
      <c r="G61" s="26">
        <f>10%*D61</f>
        <v>139.1</v>
      </c>
      <c r="H61" s="26">
        <f t="shared" si="11"/>
        <v>208.64999999999998</v>
      </c>
      <c r="I61" s="19">
        <v>0</v>
      </c>
      <c r="J61" s="19"/>
      <c r="K61" s="19">
        <v>2</v>
      </c>
      <c r="L61" s="19">
        <v>9</v>
      </c>
      <c r="M61" s="19">
        <f t="shared" si="12"/>
        <v>11</v>
      </c>
      <c r="N61" s="35"/>
      <c r="O61" s="36"/>
      <c r="P61" s="161">
        <f t="shared" si="10"/>
        <v>117901159.99999999</v>
      </c>
      <c r="Q61" s="16"/>
    </row>
    <row r="62" spans="1:17" ht="14.25" customHeight="1" x14ac:dyDescent="0.3">
      <c r="A62" s="141"/>
      <c r="B62" s="117"/>
      <c r="C62" s="116"/>
      <c r="D62" s="109"/>
      <c r="E62" s="110" t="s">
        <v>223</v>
      </c>
      <c r="F62" s="90">
        <f>4%*D61</f>
        <v>55.64</v>
      </c>
      <c r="G62" s="90"/>
      <c r="H62" s="90">
        <f>SUM(F62:G62)</f>
        <v>55.64</v>
      </c>
      <c r="I62" s="19">
        <v>0</v>
      </c>
      <c r="J62" s="19">
        <v>0</v>
      </c>
      <c r="K62" s="19">
        <v>0</v>
      </c>
      <c r="L62" s="19">
        <v>9</v>
      </c>
      <c r="M62" s="19">
        <f t="shared" si="12"/>
        <v>9</v>
      </c>
      <c r="N62" s="80"/>
      <c r="O62" s="81"/>
      <c r="P62" s="161">
        <f t="shared" si="10"/>
        <v>0</v>
      </c>
      <c r="Q62" s="87"/>
    </row>
    <row r="63" spans="1:17" ht="25.5" customHeight="1" x14ac:dyDescent="0.3">
      <c r="A63" s="89"/>
      <c r="B63" s="72" t="s">
        <v>347</v>
      </c>
      <c r="C63" s="72"/>
      <c r="D63" s="84">
        <f>SUM(D33:D61)</f>
        <v>30736.879999999997</v>
      </c>
      <c r="E63" s="74"/>
      <c r="F63" s="83">
        <f>SUM(F40:F62)</f>
        <v>208.35999999999996</v>
      </c>
      <c r="G63" s="83">
        <f>SUM(G33:G62)</f>
        <v>5659.6667000000007</v>
      </c>
      <c r="H63" s="83">
        <f>SUM(H33:H62)</f>
        <v>6125.434400000001</v>
      </c>
      <c r="I63" s="83">
        <f>SUM(I33:I62)</f>
        <v>0</v>
      </c>
      <c r="J63" s="83">
        <f>SUM(J33:J61)</f>
        <v>0</v>
      </c>
      <c r="K63" s="83">
        <f>SUM(K33:K61)</f>
        <v>27</v>
      </c>
      <c r="L63" s="83">
        <f>SUM(L33:L62)</f>
        <v>75</v>
      </c>
      <c r="M63" s="83">
        <f>SUM(M33:M61)</f>
        <v>93</v>
      </c>
      <c r="N63" s="76"/>
      <c r="O63" s="77"/>
      <c r="P63" s="162">
        <f>SUM(P33:P62)</f>
        <v>4797133494.9200001</v>
      </c>
      <c r="Q63" s="75"/>
    </row>
    <row r="64" spans="1:17" ht="18.75" customHeight="1" x14ac:dyDescent="0.3">
      <c r="A64" s="63">
        <v>4</v>
      </c>
      <c r="B64" s="64" t="s">
        <v>46</v>
      </c>
      <c r="C64" s="65"/>
      <c r="D64" s="66"/>
      <c r="E64" s="67"/>
      <c r="F64" s="82"/>
      <c r="G64" s="82"/>
      <c r="H64" s="82"/>
      <c r="I64" s="82"/>
      <c r="J64" s="82"/>
      <c r="K64" s="82"/>
      <c r="L64" s="82"/>
      <c r="M64" s="82"/>
      <c r="N64" s="69"/>
      <c r="O64" s="70"/>
      <c r="P64" s="70"/>
      <c r="Q64" s="68"/>
    </row>
    <row r="65" spans="1:17" ht="25.5" customHeight="1" x14ac:dyDescent="0.3">
      <c r="A65" s="102"/>
      <c r="B65" s="98" t="s">
        <v>57</v>
      </c>
      <c r="C65" s="99" t="s">
        <v>29</v>
      </c>
      <c r="D65" s="96">
        <v>175</v>
      </c>
      <c r="E65" s="101" t="s">
        <v>233</v>
      </c>
      <c r="F65" s="96"/>
      <c r="G65" s="96">
        <f>15%*D65</f>
        <v>26.25</v>
      </c>
      <c r="H65" s="96">
        <f>SUM(F65:G65)</f>
        <v>26.25</v>
      </c>
      <c r="I65" s="97">
        <v>0</v>
      </c>
      <c r="J65" s="97"/>
      <c r="K65" s="97">
        <v>0</v>
      </c>
      <c r="L65" s="97">
        <v>2</v>
      </c>
      <c r="M65" s="97">
        <f t="shared" ref="M65:M72" si="13">SUM(I65:L65)</f>
        <v>2</v>
      </c>
      <c r="N65" s="35" t="s">
        <v>51</v>
      </c>
      <c r="O65" s="36" t="s">
        <v>229</v>
      </c>
      <c r="P65" s="161">
        <f>G65*1.036*20%*5000000</f>
        <v>27195000</v>
      </c>
      <c r="Q65" s="16"/>
    </row>
    <row r="66" spans="1:17" ht="21.75" customHeight="1" x14ac:dyDescent="0.3">
      <c r="A66" s="13"/>
      <c r="B66" s="14" t="s">
        <v>58</v>
      </c>
      <c r="C66" s="15" t="s">
        <v>33</v>
      </c>
      <c r="D66" s="26">
        <v>368</v>
      </c>
      <c r="E66" s="47" t="s">
        <v>185</v>
      </c>
      <c r="F66" s="26">
        <f>0%*D66</f>
        <v>0</v>
      </c>
      <c r="G66" s="26">
        <f>15%*D66</f>
        <v>55.199999999999996</v>
      </c>
      <c r="H66" s="26">
        <f t="shared" ref="H66:H72" si="14">SUM(F66:G66)</f>
        <v>55.199999999999996</v>
      </c>
      <c r="I66" s="19">
        <v>0</v>
      </c>
      <c r="J66" s="19"/>
      <c r="K66" s="19">
        <v>0</v>
      </c>
      <c r="L66" s="19">
        <v>3</v>
      </c>
      <c r="M66" s="19">
        <f t="shared" si="13"/>
        <v>3</v>
      </c>
      <c r="N66" s="35" t="s">
        <v>51</v>
      </c>
      <c r="O66" s="36" t="s">
        <v>138</v>
      </c>
      <c r="P66" s="161">
        <f>G66*1.036*50%*5000000</f>
        <v>142968000</v>
      </c>
      <c r="Q66" s="16"/>
    </row>
    <row r="67" spans="1:17" ht="22.5" customHeight="1" x14ac:dyDescent="0.3">
      <c r="A67" s="13"/>
      <c r="B67" s="98" t="s">
        <v>59</v>
      </c>
      <c r="C67" s="99" t="s">
        <v>42</v>
      </c>
      <c r="D67" s="96">
        <v>774.98</v>
      </c>
      <c r="E67" s="101" t="s">
        <v>233</v>
      </c>
      <c r="F67" s="96">
        <f>0%*D67</f>
        <v>0</v>
      </c>
      <c r="G67" s="97">
        <f>10%*D67</f>
        <v>77.498000000000005</v>
      </c>
      <c r="H67" s="96">
        <f t="shared" si="14"/>
        <v>77.498000000000005</v>
      </c>
      <c r="I67" s="97">
        <v>0</v>
      </c>
      <c r="J67" s="97"/>
      <c r="K67" s="97">
        <v>0</v>
      </c>
      <c r="L67" s="97">
        <v>0</v>
      </c>
      <c r="M67" s="97">
        <f t="shared" si="13"/>
        <v>0</v>
      </c>
      <c r="N67" s="35"/>
      <c r="O67" s="36"/>
      <c r="P67" s="161">
        <f>G67*1.036*20%*5000000</f>
        <v>80287928.000000015</v>
      </c>
      <c r="Q67" s="16"/>
    </row>
    <row r="68" spans="1:17" ht="25.5" customHeight="1" x14ac:dyDescent="0.3">
      <c r="A68" s="13"/>
      <c r="B68" s="98" t="s">
        <v>60</v>
      </c>
      <c r="C68" s="99" t="s">
        <v>21</v>
      </c>
      <c r="D68" s="96">
        <v>942.55</v>
      </c>
      <c r="E68" s="101" t="s">
        <v>186</v>
      </c>
      <c r="F68" s="96">
        <f>1%*D68</f>
        <v>9.4254999999999995</v>
      </c>
      <c r="G68" s="97">
        <f>6%*D68</f>
        <v>56.552999999999997</v>
      </c>
      <c r="H68" s="96">
        <f t="shared" si="14"/>
        <v>65.978499999999997</v>
      </c>
      <c r="I68" s="97">
        <v>0</v>
      </c>
      <c r="J68" s="97"/>
      <c r="K68" s="97">
        <v>0</v>
      </c>
      <c r="L68" s="97">
        <v>0</v>
      </c>
      <c r="M68" s="97">
        <f t="shared" si="13"/>
        <v>0</v>
      </c>
      <c r="N68" s="35"/>
      <c r="O68" s="36"/>
      <c r="P68" s="161">
        <f>G68*1.036*20%*5000000</f>
        <v>58588908</v>
      </c>
      <c r="Q68" s="16"/>
    </row>
    <row r="69" spans="1:17" ht="22.5" customHeight="1" x14ac:dyDescent="0.3">
      <c r="A69" s="13"/>
      <c r="B69" s="98"/>
      <c r="C69" s="99"/>
      <c r="D69" s="96"/>
      <c r="E69" s="101" t="s">
        <v>233</v>
      </c>
      <c r="F69" s="96"/>
      <c r="G69" s="96">
        <f>8%*D68</f>
        <v>75.403999999999996</v>
      </c>
      <c r="H69" s="96">
        <f>SUM(F69:G69)</f>
        <v>75.403999999999996</v>
      </c>
      <c r="I69" s="19">
        <v>0</v>
      </c>
      <c r="J69" s="19">
        <v>0</v>
      </c>
      <c r="K69" s="19">
        <v>0</v>
      </c>
      <c r="L69" s="19">
        <v>0</v>
      </c>
      <c r="M69" s="19">
        <f t="shared" si="13"/>
        <v>0</v>
      </c>
      <c r="N69" s="35"/>
      <c r="O69" s="36"/>
      <c r="P69" s="161">
        <f>G69*1.036*20%*5000000</f>
        <v>78118544</v>
      </c>
      <c r="Q69" s="16"/>
    </row>
    <row r="70" spans="1:17" ht="24" customHeight="1" x14ac:dyDescent="0.3">
      <c r="A70" s="16"/>
      <c r="B70" s="14" t="s">
        <v>61</v>
      </c>
      <c r="C70" s="15" t="s">
        <v>22</v>
      </c>
      <c r="D70" s="26">
        <v>1233.55</v>
      </c>
      <c r="E70" s="101" t="s">
        <v>233</v>
      </c>
      <c r="F70" s="26">
        <f>0%*D70</f>
        <v>0</v>
      </c>
      <c r="G70" s="19">
        <f>6%*D70</f>
        <v>74.012999999999991</v>
      </c>
      <c r="H70" s="26">
        <f t="shared" si="14"/>
        <v>74.012999999999991</v>
      </c>
      <c r="I70" s="19">
        <v>0</v>
      </c>
      <c r="J70" s="19"/>
      <c r="K70" s="19">
        <v>0</v>
      </c>
      <c r="L70" s="19">
        <v>1</v>
      </c>
      <c r="M70" s="19">
        <f t="shared" si="13"/>
        <v>1</v>
      </c>
      <c r="N70" s="35"/>
      <c r="O70" s="36"/>
      <c r="P70" s="161">
        <f>G70*1.036*20%*5000000</f>
        <v>76677468</v>
      </c>
      <c r="Q70" s="16"/>
    </row>
    <row r="71" spans="1:17" ht="21" customHeight="1" x14ac:dyDescent="0.3">
      <c r="A71" s="87"/>
      <c r="B71" s="55" t="s">
        <v>62</v>
      </c>
      <c r="C71" s="56" t="s">
        <v>43</v>
      </c>
      <c r="D71" s="57">
        <v>133</v>
      </c>
      <c r="E71" s="101" t="s">
        <v>233</v>
      </c>
      <c r="F71" s="26">
        <f>0%*D71</f>
        <v>0</v>
      </c>
      <c r="G71" s="19">
        <f>5%*D71</f>
        <v>6.65</v>
      </c>
      <c r="H71" s="26">
        <f t="shared" si="14"/>
        <v>6.65</v>
      </c>
      <c r="I71" s="19">
        <v>0</v>
      </c>
      <c r="J71" s="19"/>
      <c r="K71" s="19">
        <v>0</v>
      </c>
      <c r="L71" s="19">
        <v>2</v>
      </c>
      <c r="M71" s="19">
        <f t="shared" si="13"/>
        <v>2</v>
      </c>
      <c r="N71" s="35"/>
      <c r="O71" s="36"/>
      <c r="P71" s="161">
        <f>G71*1.036*20%*5000000</f>
        <v>6889400.0000000009</v>
      </c>
      <c r="Q71" s="16"/>
    </row>
    <row r="72" spans="1:17" ht="27.75" customHeight="1" x14ac:dyDescent="0.3">
      <c r="A72" s="16"/>
      <c r="B72" s="14" t="s">
        <v>63</v>
      </c>
      <c r="C72" s="15" t="s">
        <v>32</v>
      </c>
      <c r="D72" s="26">
        <v>298.5</v>
      </c>
      <c r="E72" s="101" t="s">
        <v>236</v>
      </c>
      <c r="F72" s="26">
        <f>0%*D72</f>
        <v>0</v>
      </c>
      <c r="G72" s="19">
        <f>4%*D72</f>
        <v>11.94</v>
      </c>
      <c r="H72" s="26">
        <f t="shared" si="14"/>
        <v>11.94</v>
      </c>
      <c r="I72" s="135">
        <v>0</v>
      </c>
      <c r="J72" s="135"/>
      <c r="K72" s="135">
        <v>0</v>
      </c>
      <c r="L72" s="135">
        <v>5</v>
      </c>
      <c r="M72" s="135">
        <f t="shared" si="13"/>
        <v>5</v>
      </c>
      <c r="N72" s="80"/>
      <c r="O72" s="81"/>
      <c r="P72" s="161">
        <f t="shared" ref="P72" si="15">G72*1.036*20%*6000000</f>
        <v>14843808.000000002</v>
      </c>
      <c r="Q72" s="87"/>
    </row>
    <row r="73" spans="1:17" ht="18.75" customHeight="1" x14ac:dyDescent="0.3">
      <c r="A73" s="75"/>
      <c r="B73" s="72" t="s">
        <v>348</v>
      </c>
      <c r="C73" s="72"/>
      <c r="D73" s="73">
        <f>SUM(D65:D72)</f>
        <v>3925.58</v>
      </c>
      <c r="E73" s="74"/>
      <c r="F73" s="73">
        <f t="shared" ref="F73:K73" si="16">SUM(F65:F72)</f>
        <v>9.4254999999999995</v>
      </c>
      <c r="G73" s="83">
        <f t="shared" si="16"/>
        <v>383.50799999999992</v>
      </c>
      <c r="H73" s="73">
        <f t="shared" si="16"/>
        <v>392.93349999999992</v>
      </c>
      <c r="I73" s="83">
        <f t="shared" si="16"/>
        <v>0</v>
      </c>
      <c r="J73" s="83">
        <f t="shared" si="16"/>
        <v>0</v>
      </c>
      <c r="K73" s="83">
        <f t="shared" si="16"/>
        <v>0</v>
      </c>
      <c r="L73" s="83">
        <f>SUM(L64:L72)</f>
        <v>13</v>
      </c>
      <c r="M73" s="83">
        <f>SUM(M65:M72)</f>
        <v>13</v>
      </c>
      <c r="N73" s="76"/>
      <c r="O73" s="77"/>
      <c r="P73" s="162">
        <f>SUM(P65:P72)</f>
        <v>485569056</v>
      </c>
      <c r="Q73" s="75"/>
    </row>
    <row r="74" spans="1:17" ht="16.5" customHeight="1" x14ac:dyDescent="0.3">
      <c r="A74" s="63">
        <v>5</v>
      </c>
      <c r="B74" s="64" t="s">
        <v>96</v>
      </c>
      <c r="C74" s="65"/>
      <c r="D74" s="66"/>
      <c r="E74" s="67"/>
      <c r="F74" s="66"/>
      <c r="G74" s="66"/>
      <c r="H74" s="66"/>
      <c r="I74" s="82"/>
      <c r="J74" s="82"/>
      <c r="K74" s="82"/>
      <c r="L74" s="82"/>
      <c r="M74" s="82"/>
      <c r="N74" s="69"/>
      <c r="O74" s="70"/>
      <c r="P74" s="70"/>
      <c r="Q74" s="68"/>
    </row>
    <row r="75" spans="1:17" ht="16.5" customHeight="1" x14ac:dyDescent="0.3">
      <c r="A75" s="16"/>
      <c r="B75" s="14" t="s">
        <v>57</v>
      </c>
      <c r="C75" s="15" t="s">
        <v>22</v>
      </c>
      <c r="D75" s="26">
        <v>9.5</v>
      </c>
      <c r="E75" s="47" t="s">
        <v>163</v>
      </c>
      <c r="F75" s="26">
        <f>10%*D75</f>
        <v>0.95000000000000007</v>
      </c>
      <c r="G75" s="26">
        <f>7%*D75</f>
        <v>0.66500000000000004</v>
      </c>
      <c r="H75" s="26">
        <f t="shared" ref="H75:H83" si="17">SUM(F75:G75)</f>
        <v>1.6150000000000002</v>
      </c>
      <c r="I75" s="19">
        <v>0</v>
      </c>
      <c r="J75" s="19"/>
      <c r="K75" s="19">
        <v>0</v>
      </c>
      <c r="L75" s="19">
        <v>1</v>
      </c>
      <c r="M75" s="19">
        <f>SUM(I75:L75)</f>
        <v>1</v>
      </c>
      <c r="N75" s="35"/>
      <c r="O75" s="36"/>
      <c r="P75" s="161">
        <f t="shared" ref="P75:P83" si="18">G75*0.486*30%*40000000</f>
        <v>3878280</v>
      </c>
      <c r="Q75" s="16"/>
    </row>
    <row r="76" spans="1:17" ht="17.25" customHeight="1" x14ac:dyDescent="0.3">
      <c r="A76" s="16"/>
      <c r="B76" s="14" t="s">
        <v>58</v>
      </c>
      <c r="C76" s="15" t="s">
        <v>21</v>
      </c>
      <c r="D76" s="26">
        <v>18.11</v>
      </c>
      <c r="E76" s="47" t="s">
        <v>164</v>
      </c>
      <c r="F76" s="26">
        <f>11%*D76</f>
        <v>1.9921</v>
      </c>
      <c r="G76" s="26">
        <f>9%*D76</f>
        <v>1.6298999999999999</v>
      </c>
      <c r="H76" s="26">
        <f t="shared" si="17"/>
        <v>3.6219999999999999</v>
      </c>
      <c r="I76" s="19">
        <v>0</v>
      </c>
      <c r="J76" s="19"/>
      <c r="K76" s="19">
        <v>1</v>
      </c>
      <c r="L76" s="19">
        <v>1</v>
      </c>
      <c r="M76" s="19">
        <f t="shared" ref="M76:M83" si="19">SUM(I76:L76)</f>
        <v>2</v>
      </c>
      <c r="N76" s="35"/>
      <c r="O76" s="36" t="s">
        <v>50</v>
      </c>
      <c r="P76" s="161">
        <f t="shared" si="18"/>
        <v>9505576.7999999989</v>
      </c>
      <c r="Q76" s="16"/>
    </row>
    <row r="77" spans="1:17" ht="16.5" customHeight="1" x14ac:dyDescent="0.3">
      <c r="A77" s="16"/>
      <c r="B77" s="14"/>
      <c r="C77" s="15"/>
      <c r="D77" s="26"/>
      <c r="E77" s="49" t="s">
        <v>187</v>
      </c>
      <c r="F77" s="96">
        <f>12%*D76</f>
        <v>2.1732</v>
      </c>
      <c r="G77" s="96">
        <f>5%*D76</f>
        <v>0.90549999999999997</v>
      </c>
      <c r="H77" s="96">
        <f t="shared" si="17"/>
        <v>3.0787</v>
      </c>
      <c r="I77" s="97">
        <v>0</v>
      </c>
      <c r="J77" s="97">
        <v>0</v>
      </c>
      <c r="K77" s="97">
        <v>0</v>
      </c>
      <c r="L77" s="97">
        <v>0</v>
      </c>
      <c r="M77" s="97">
        <f t="shared" si="19"/>
        <v>0</v>
      </c>
      <c r="N77" s="35"/>
      <c r="O77" s="36"/>
      <c r="P77" s="161">
        <f t="shared" si="18"/>
        <v>5280876</v>
      </c>
      <c r="Q77" s="16"/>
    </row>
    <row r="78" spans="1:17" ht="16.5" customHeight="1" x14ac:dyDescent="0.3">
      <c r="A78" s="16"/>
      <c r="B78" s="14" t="s">
        <v>59</v>
      </c>
      <c r="C78" s="15" t="s">
        <v>43</v>
      </c>
      <c r="D78" s="26">
        <v>19.79</v>
      </c>
      <c r="E78" s="47" t="s">
        <v>164</v>
      </c>
      <c r="F78" s="26">
        <f>9%*D78</f>
        <v>1.7810999999999999</v>
      </c>
      <c r="G78" s="26">
        <f>1%*D78</f>
        <v>0.19789999999999999</v>
      </c>
      <c r="H78" s="26">
        <f t="shared" si="17"/>
        <v>1.9789999999999999</v>
      </c>
      <c r="I78" s="19">
        <v>0</v>
      </c>
      <c r="J78" s="19"/>
      <c r="K78" s="19">
        <v>1</v>
      </c>
      <c r="L78" s="19">
        <v>0</v>
      </c>
      <c r="M78" s="19">
        <f t="shared" si="19"/>
        <v>1</v>
      </c>
      <c r="N78" s="35"/>
      <c r="O78" s="36" t="s">
        <v>137</v>
      </c>
      <c r="P78" s="161">
        <f t="shared" si="18"/>
        <v>1154152.8</v>
      </c>
      <c r="Q78" s="16"/>
    </row>
    <row r="79" spans="1:17" ht="17.25" customHeight="1" x14ac:dyDescent="0.3">
      <c r="A79" s="16"/>
      <c r="B79" s="14" t="s">
        <v>60</v>
      </c>
      <c r="C79" s="15" t="s">
        <v>44</v>
      </c>
      <c r="D79" s="26">
        <v>30.5</v>
      </c>
      <c r="E79" s="47" t="s">
        <v>164</v>
      </c>
      <c r="F79" s="26">
        <f>9%*D79</f>
        <v>2.7450000000000001</v>
      </c>
      <c r="G79" s="26">
        <f>1%*D79</f>
        <v>0.30499999999999999</v>
      </c>
      <c r="H79" s="26">
        <f t="shared" si="17"/>
        <v>3.0500000000000003</v>
      </c>
      <c r="I79" s="19">
        <v>0</v>
      </c>
      <c r="J79" s="19">
        <v>0</v>
      </c>
      <c r="K79" s="19">
        <v>0</v>
      </c>
      <c r="L79" s="19">
        <v>0</v>
      </c>
      <c r="M79" s="19">
        <f t="shared" si="19"/>
        <v>0</v>
      </c>
      <c r="N79" s="35"/>
      <c r="O79" s="36" t="s">
        <v>145</v>
      </c>
      <c r="P79" s="161">
        <f t="shared" si="18"/>
        <v>1778760</v>
      </c>
      <c r="Q79" s="16"/>
    </row>
    <row r="80" spans="1:17" ht="15.75" customHeight="1" x14ac:dyDescent="0.3">
      <c r="A80" s="16"/>
      <c r="B80" s="14" t="s">
        <v>61</v>
      </c>
      <c r="C80" s="15" t="s">
        <v>33</v>
      </c>
      <c r="D80" s="26">
        <v>8.3000000000000007</v>
      </c>
      <c r="E80" s="47" t="s">
        <v>164</v>
      </c>
      <c r="F80" s="26">
        <f>9%*D80</f>
        <v>0.747</v>
      </c>
      <c r="G80" s="26">
        <f>1%*D80</f>
        <v>8.3000000000000004E-2</v>
      </c>
      <c r="H80" s="26">
        <f t="shared" si="17"/>
        <v>0.83</v>
      </c>
      <c r="I80" s="19">
        <v>0</v>
      </c>
      <c r="J80" s="19">
        <v>0</v>
      </c>
      <c r="K80" s="19">
        <v>0</v>
      </c>
      <c r="L80" s="19">
        <v>0</v>
      </c>
      <c r="M80" s="19">
        <f t="shared" si="19"/>
        <v>0</v>
      </c>
      <c r="N80" s="35"/>
      <c r="O80" s="36" t="s">
        <v>146</v>
      </c>
      <c r="P80" s="161">
        <f t="shared" si="18"/>
        <v>484056</v>
      </c>
      <c r="Q80" s="16"/>
    </row>
    <row r="81" spans="1:20" ht="17.25" customHeight="1" x14ac:dyDescent="0.3">
      <c r="A81" s="16"/>
      <c r="B81" s="14" t="s">
        <v>62</v>
      </c>
      <c r="C81" s="15" t="s">
        <v>32</v>
      </c>
      <c r="D81" s="26">
        <v>1.25</v>
      </c>
      <c r="E81" s="47" t="s">
        <v>164</v>
      </c>
      <c r="F81" s="26">
        <f>1%*D81</f>
        <v>1.2500000000000001E-2</v>
      </c>
      <c r="G81" s="26">
        <f>1%*D81</f>
        <v>1.2500000000000001E-2</v>
      </c>
      <c r="H81" s="26">
        <f t="shared" si="17"/>
        <v>2.5000000000000001E-2</v>
      </c>
      <c r="I81" s="19">
        <v>0</v>
      </c>
      <c r="J81" s="19">
        <v>0</v>
      </c>
      <c r="K81" s="19">
        <v>0</v>
      </c>
      <c r="L81" s="19">
        <v>0</v>
      </c>
      <c r="M81" s="19">
        <f t="shared" si="19"/>
        <v>0</v>
      </c>
      <c r="N81" s="35"/>
      <c r="O81" s="36"/>
      <c r="P81" s="161">
        <f t="shared" si="18"/>
        <v>72900</v>
      </c>
      <c r="Q81" s="16"/>
    </row>
    <row r="82" spans="1:20" ht="16.5" customHeight="1" x14ac:dyDescent="0.3">
      <c r="A82" s="16"/>
      <c r="B82" s="14">
        <v>9</v>
      </c>
      <c r="C82" s="15" t="s">
        <v>30</v>
      </c>
      <c r="D82" s="26">
        <v>9.5</v>
      </c>
      <c r="E82" s="47" t="s">
        <v>164</v>
      </c>
      <c r="F82" s="26">
        <f>11%*D82</f>
        <v>1.0449999999999999</v>
      </c>
      <c r="G82" s="26">
        <f>1%*D82</f>
        <v>9.5000000000000001E-2</v>
      </c>
      <c r="H82" s="26">
        <f t="shared" si="17"/>
        <v>1.1399999999999999</v>
      </c>
      <c r="I82" s="19">
        <v>0</v>
      </c>
      <c r="J82" s="19">
        <v>0</v>
      </c>
      <c r="K82" s="19">
        <v>0</v>
      </c>
      <c r="L82" s="19">
        <v>0</v>
      </c>
      <c r="M82" s="19">
        <f t="shared" si="19"/>
        <v>0</v>
      </c>
      <c r="N82" s="35"/>
      <c r="O82" s="36"/>
      <c r="P82" s="161">
        <f t="shared" si="18"/>
        <v>554040</v>
      </c>
      <c r="Q82" s="16"/>
    </row>
    <row r="83" spans="1:20" ht="17.25" customHeight="1" x14ac:dyDescent="0.3">
      <c r="A83" s="87"/>
      <c r="B83" s="55" t="s">
        <v>64</v>
      </c>
      <c r="C83" s="56" t="s">
        <v>31</v>
      </c>
      <c r="D83" s="57">
        <v>6</v>
      </c>
      <c r="E83" s="85" t="s">
        <v>164</v>
      </c>
      <c r="F83" s="26">
        <f>14%*D83</f>
        <v>0.84000000000000008</v>
      </c>
      <c r="G83" s="26">
        <f>9%*D83</f>
        <v>0.54</v>
      </c>
      <c r="H83" s="26">
        <f t="shared" si="17"/>
        <v>1.3800000000000001</v>
      </c>
      <c r="I83" s="79">
        <v>0</v>
      </c>
      <c r="J83" s="79">
        <v>0</v>
      </c>
      <c r="K83" s="79">
        <v>0</v>
      </c>
      <c r="L83" s="79">
        <v>0</v>
      </c>
      <c r="M83" s="79">
        <f t="shared" si="19"/>
        <v>0</v>
      </c>
      <c r="N83" s="80"/>
      <c r="O83" s="81"/>
      <c r="P83" s="161">
        <f t="shared" si="18"/>
        <v>3149280</v>
      </c>
      <c r="Q83" s="87"/>
    </row>
    <row r="84" spans="1:20" ht="18.75" customHeight="1" x14ac:dyDescent="0.3">
      <c r="A84" s="75"/>
      <c r="B84" s="72" t="s">
        <v>349</v>
      </c>
      <c r="C84" s="72"/>
      <c r="D84" s="73">
        <f>SUM(D75:D83)</f>
        <v>102.95</v>
      </c>
      <c r="E84" s="74"/>
      <c r="F84" s="73">
        <f t="shared" ref="F84:K84" si="20">SUM(F75:F83)</f>
        <v>12.2859</v>
      </c>
      <c r="G84" s="73">
        <f t="shared" si="20"/>
        <v>4.4338000000000015</v>
      </c>
      <c r="H84" s="73">
        <f t="shared" si="20"/>
        <v>16.7197</v>
      </c>
      <c r="I84" s="83">
        <f t="shared" si="20"/>
        <v>0</v>
      </c>
      <c r="J84" s="83">
        <f t="shared" si="20"/>
        <v>0</v>
      </c>
      <c r="K84" s="83">
        <f t="shared" si="20"/>
        <v>2</v>
      </c>
      <c r="L84" s="83">
        <f>SUM(L74:L83)</f>
        <v>2</v>
      </c>
      <c r="M84" s="83">
        <f>SUM(M75:M83)</f>
        <v>4</v>
      </c>
      <c r="N84" s="76"/>
      <c r="O84" s="77"/>
      <c r="P84" s="162">
        <f>SUM(P75:P83)</f>
        <v>25857921.599999998</v>
      </c>
      <c r="Q84" s="75"/>
    </row>
    <row r="85" spans="1:20" ht="17.25" customHeight="1" x14ac:dyDescent="0.3">
      <c r="A85" s="103">
        <v>6</v>
      </c>
      <c r="B85" s="104" t="s">
        <v>116</v>
      </c>
      <c r="C85" s="104"/>
      <c r="D85" s="105"/>
      <c r="E85" s="106"/>
      <c r="F85" s="105"/>
      <c r="G85" s="107"/>
      <c r="H85" s="105"/>
      <c r="I85" s="107"/>
      <c r="J85" s="107"/>
      <c r="K85" s="107"/>
      <c r="L85" s="107"/>
      <c r="M85" s="107"/>
      <c r="N85" s="69"/>
      <c r="O85" s="70"/>
      <c r="P85" s="70"/>
      <c r="Q85" s="68"/>
      <c r="S85" s="1" t="s">
        <v>596</v>
      </c>
    </row>
    <row r="86" spans="1:20" ht="20.25" customHeight="1" x14ac:dyDescent="0.3">
      <c r="A86" s="27"/>
      <c r="B86" s="152" t="s">
        <v>57</v>
      </c>
      <c r="C86" s="153" t="s">
        <v>30</v>
      </c>
      <c r="D86" s="154">
        <v>57.9</v>
      </c>
      <c r="E86" s="101" t="s">
        <v>607</v>
      </c>
      <c r="F86" s="154">
        <f>3%*D86</f>
        <v>1.7369999999999999</v>
      </c>
      <c r="G86" s="155">
        <f>5%*D86</f>
        <v>2.895</v>
      </c>
      <c r="H86" s="154">
        <f t="shared" ref="H86:H90" si="21">SUM(F86:G86)</f>
        <v>4.6319999999999997</v>
      </c>
      <c r="I86" s="155">
        <v>0</v>
      </c>
      <c r="J86" s="155"/>
      <c r="K86" s="155"/>
      <c r="L86" s="155">
        <v>0</v>
      </c>
      <c r="M86" s="155">
        <f>SUM(I86:L86)</f>
        <v>0</v>
      </c>
      <c r="N86" s="156" t="s">
        <v>86</v>
      </c>
      <c r="O86" s="40" t="s">
        <v>271</v>
      </c>
      <c r="P86" s="176">
        <f>G86*0.347*30*16000000</f>
        <v>482191200</v>
      </c>
      <c r="Q86" s="27"/>
      <c r="S86" s="1" t="s">
        <v>597</v>
      </c>
      <c r="T86" s="1" t="s">
        <v>598</v>
      </c>
    </row>
    <row r="87" spans="1:20" ht="22.5" customHeight="1" x14ac:dyDescent="0.3">
      <c r="A87" s="16"/>
      <c r="B87" s="14" t="s">
        <v>58</v>
      </c>
      <c r="C87" s="15" t="s">
        <v>44</v>
      </c>
      <c r="D87" s="26">
        <v>84.65</v>
      </c>
      <c r="E87" s="47" t="s">
        <v>182</v>
      </c>
      <c r="F87" s="26">
        <f>4%*D87</f>
        <v>3.3860000000000001</v>
      </c>
      <c r="G87" s="19">
        <v>0</v>
      </c>
      <c r="H87" s="26">
        <f t="shared" si="21"/>
        <v>3.3860000000000001</v>
      </c>
      <c r="I87" s="19">
        <v>0</v>
      </c>
      <c r="J87" s="19"/>
      <c r="K87" s="19">
        <v>2</v>
      </c>
      <c r="L87" s="19">
        <v>0</v>
      </c>
      <c r="M87" s="19">
        <f t="shared" ref="M87:M90" si="22">SUM(I87:L87)</f>
        <v>2</v>
      </c>
      <c r="N87" s="35"/>
      <c r="O87" s="36" t="s">
        <v>272</v>
      </c>
      <c r="P87" s="176">
        <f>G87*0.347*30*16000000</f>
        <v>0</v>
      </c>
      <c r="Q87" s="16"/>
      <c r="S87" s="1" t="s">
        <v>599</v>
      </c>
      <c r="T87" s="1" t="s">
        <v>600</v>
      </c>
    </row>
    <row r="88" spans="1:20" ht="29.25" customHeight="1" x14ac:dyDescent="0.3">
      <c r="A88" s="16"/>
      <c r="B88" s="14"/>
      <c r="C88" s="15"/>
      <c r="D88" s="26"/>
      <c r="E88" s="101" t="s">
        <v>181</v>
      </c>
      <c r="F88" s="96">
        <f>9%*D87</f>
        <v>7.6185</v>
      </c>
      <c r="G88" s="97">
        <v>2</v>
      </c>
      <c r="H88" s="96">
        <f t="shared" si="21"/>
        <v>9.6185000000000009</v>
      </c>
      <c r="I88" s="97">
        <v>0</v>
      </c>
      <c r="J88" s="97"/>
      <c r="K88" s="97">
        <v>0</v>
      </c>
      <c r="L88" s="97">
        <v>0</v>
      </c>
      <c r="M88" s="97">
        <f>SUM(I88:L88)</f>
        <v>0</v>
      </c>
      <c r="N88" s="35"/>
      <c r="O88" s="159" t="s">
        <v>273</v>
      </c>
      <c r="P88" s="176">
        <f>G88*0.347*30*16000000</f>
        <v>333120000</v>
      </c>
      <c r="Q88" s="16"/>
    </row>
    <row r="89" spans="1:20" ht="27.75" customHeight="1" x14ac:dyDescent="0.3">
      <c r="A89" s="16"/>
      <c r="B89" s="14" t="s">
        <v>59</v>
      </c>
      <c r="C89" s="15" t="s">
        <v>33</v>
      </c>
      <c r="D89" s="26">
        <v>14.2</v>
      </c>
      <c r="E89" s="101" t="s">
        <v>181</v>
      </c>
      <c r="F89" s="26">
        <f>10%*D89</f>
        <v>1.42</v>
      </c>
      <c r="G89" s="155">
        <f>5%*D89</f>
        <v>0.71</v>
      </c>
      <c r="H89" s="26">
        <f t="shared" si="21"/>
        <v>2.13</v>
      </c>
      <c r="I89" s="19">
        <v>0</v>
      </c>
      <c r="J89" s="19"/>
      <c r="K89" s="19"/>
      <c r="L89" s="19"/>
      <c r="M89" s="19">
        <f t="shared" si="22"/>
        <v>0</v>
      </c>
      <c r="N89" s="35" t="s">
        <v>88</v>
      </c>
      <c r="O89" s="36" t="s">
        <v>274</v>
      </c>
      <c r="P89" s="176">
        <f>G89*0.347*30*16000000</f>
        <v>118257600</v>
      </c>
      <c r="Q89" s="16"/>
      <c r="S89" s="1" t="s">
        <v>592</v>
      </c>
    </row>
    <row r="90" spans="1:20" ht="48" customHeight="1" x14ac:dyDescent="0.3">
      <c r="A90" s="108"/>
      <c r="B90" s="128" t="s">
        <v>61</v>
      </c>
      <c r="C90" s="126" t="s">
        <v>35</v>
      </c>
      <c r="D90" s="127">
        <v>36.72</v>
      </c>
      <c r="E90" s="142" t="s">
        <v>183</v>
      </c>
      <c r="F90" s="127">
        <f>7%*D90</f>
        <v>2.5704000000000002</v>
      </c>
      <c r="G90" s="155">
        <f>5%*D90</f>
        <v>1.8360000000000001</v>
      </c>
      <c r="H90" s="127">
        <f t="shared" si="21"/>
        <v>4.4064000000000005</v>
      </c>
      <c r="I90" s="143">
        <v>0</v>
      </c>
      <c r="J90" s="143">
        <v>0</v>
      </c>
      <c r="K90" s="143">
        <v>0</v>
      </c>
      <c r="L90" s="143">
        <v>0</v>
      </c>
      <c r="M90" s="143">
        <f t="shared" si="22"/>
        <v>0</v>
      </c>
      <c r="N90" s="157" t="s">
        <v>254</v>
      </c>
      <c r="O90" s="158" t="s">
        <v>137</v>
      </c>
      <c r="P90" s="221">
        <f>G90*0.347*30*16000000</f>
        <v>305804160</v>
      </c>
      <c r="Q90" s="87"/>
      <c r="S90" s="217" t="s">
        <v>601</v>
      </c>
      <c r="T90" s="216" t="s">
        <v>602</v>
      </c>
    </row>
    <row r="91" spans="1:20" ht="14.25" customHeight="1" x14ac:dyDescent="0.3">
      <c r="A91" s="75"/>
      <c r="B91" s="136" t="s">
        <v>351</v>
      </c>
      <c r="C91" s="137"/>
      <c r="D91" s="138">
        <f>SUM(D86:D90)</f>
        <v>193.47</v>
      </c>
      <c r="E91" s="139"/>
      <c r="F91" s="138">
        <f t="shared" ref="F91:M91" si="23">SUM(F86:F90)</f>
        <v>16.7319</v>
      </c>
      <c r="G91" s="140">
        <f t="shared" si="23"/>
        <v>7.4409999999999998</v>
      </c>
      <c r="H91" s="138">
        <f t="shared" si="23"/>
        <v>24.172900000000002</v>
      </c>
      <c r="I91" s="140">
        <f t="shared" si="23"/>
        <v>0</v>
      </c>
      <c r="J91" s="140">
        <f t="shared" si="23"/>
        <v>0</v>
      </c>
      <c r="K91" s="140">
        <f t="shared" si="23"/>
        <v>2</v>
      </c>
      <c r="L91" s="140">
        <f t="shared" si="23"/>
        <v>0</v>
      </c>
      <c r="M91" s="140">
        <f t="shared" si="23"/>
        <v>2</v>
      </c>
      <c r="N91" s="76"/>
      <c r="O91" s="77"/>
      <c r="P91" s="185">
        <f>SUM(P86:P90)</f>
        <v>1239372960</v>
      </c>
      <c r="Q91" s="75"/>
    </row>
    <row r="92" spans="1:20" ht="13.5" customHeight="1" x14ac:dyDescent="0.3">
      <c r="A92" s="63">
        <v>7</v>
      </c>
      <c r="B92" s="8" t="s">
        <v>117</v>
      </c>
      <c r="C92" s="10"/>
      <c r="D92" s="90"/>
      <c r="E92" s="67"/>
      <c r="F92" s="66"/>
      <c r="G92" s="218"/>
      <c r="H92" s="66"/>
      <c r="I92" s="82"/>
      <c r="J92" s="82"/>
      <c r="K92" s="82"/>
      <c r="L92" s="82"/>
      <c r="M92" s="82"/>
      <c r="N92" s="69"/>
      <c r="O92" s="70"/>
      <c r="P92" s="70"/>
      <c r="Q92" s="68"/>
    </row>
    <row r="93" spans="1:20" ht="24.75" customHeight="1" x14ac:dyDescent="0.3">
      <c r="A93" s="16"/>
      <c r="B93" s="14" t="s">
        <v>57</v>
      </c>
      <c r="C93" s="15" t="s">
        <v>22</v>
      </c>
      <c r="D93" s="26">
        <v>296.95</v>
      </c>
      <c r="E93" s="101" t="s">
        <v>203</v>
      </c>
      <c r="F93" s="96">
        <f>4%*D93</f>
        <v>11.878</v>
      </c>
      <c r="G93" s="97">
        <f>1%*D93</f>
        <v>2.9695</v>
      </c>
      <c r="H93" s="96">
        <f t="shared" ref="H93:H101" si="24">SUM(F93:G93)</f>
        <v>14.8475</v>
      </c>
      <c r="I93" s="97">
        <v>0</v>
      </c>
      <c r="J93" s="97"/>
      <c r="K93" s="97">
        <v>0</v>
      </c>
      <c r="L93" s="97">
        <v>5</v>
      </c>
      <c r="M93" s="97">
        <f>SUM(I93:L93)</f>
        <v>5</v>
      </c>
      <c r="N93" s="35"/>
      <c r="O93" s="40" t="s">
        <v>211</v>
      </c>
      <c r="P93" s="167">
        <f t="shared" ref="P93:P102" si="25">G93*0.3*30%*50000000</f>
        <v>13362750.000000002</v>
      </c>
      <c r="Q93" s="16"/>
    </row>
    <row r="94" spans="1:20" ht="15" customHeight="1" x14ac:dyDescent="0.3">
      <c r="A94" s="16"/>
      <c r="B94" s="14"/>
      <c r="C94" s="15"/>
      <c r="D94" s="26"/>
      <c r="E94" s="101" t="s">
        <v>220</v>
      </c>
      <c r="F94" s="96">
        <f>1%*D93</f>
        <v>2.9695</v>
      </c>
      <c r="G94" s="97">
        <f>1%*D93</f>
        <v>2.9695</v>
      </c>
      <c r="H94" s="96">
        <f>SUM(F94:G94)</f>
        <v>5.9390000000000001</v>
      </c>
      <c r="I94" s="97">
        <v>0</v>
      </c>
      <c r="J94" s="97"/>
      <c r="K94" s="97">
        <v>0</v>
      </c>
      <c r="L94" s="97">
        <v>3</v>
      </c>
      <c r="M94" s="97">
        <f>SUM(I94:L94)</f>
        <v>3</v>
      </c>
      <c r="N94" s="35"/>
      <c r="O94" s="40"/>
      <c r="P94" s="167">
        <f t="shared" si="25"/>
        <v>13362750.000000002</v>
      </c>
      <c r="Q94" s="16"/>
    </row>
    <row r="95" spans="1:20" ht="32.25" customHeight="1" x14ac:dyDescent="0.3">
      <c r="A95" s="16"/>
      <c r="B95" s="14" t="s">
        <v>58</v>
      </c>
      <c r="C95" s="15" t="s">
        <v>42</v>
      </c>
      <c r="D95" s="26">
        <v>248.5</v>
      </c>
      <c r="E95" s="101" t="s">
        <v>203</v>
      </c>
      <c r="F95" s="96">
        <f>3%*D95</f>
        <v>7.4550000000000001</v>
      </c>
      <c r="G95" s="97">
        <f>1%*D95</f>
        <v>2.4849999999999999</v>
      </c>
      <c r="H95" s="96">
        <f t="shared" si="24"/>
        <v>9.94</v>
      </c>
      <c r="I95" s="97">
        <v>0</v>
      </c>
      <c r="J95" s="97"/>
      <c r="K95" s="97">
        <v>0</v>
      </c>
      <c r="L95" s="97">
        <v>4</v>
      </c>
      <c r="M95" s="97">
        <f>SUM(I95:L95)</f>
        <v>4</v>
      </c>
      <c r="N95" s="35"/>
      <c r="O95" s="40" t="s">
        <v>137</v>
      </c>
      <c r="P95" s="167">
        <f t="shared" si="25"/>
        <v>11182500</v>
      </c>
      <c r="Q95" s="16"/>
      <c r="R95" s="1" t="s">
        <v>333</v>
      </c>
      <c r="S95" s="1" t="s">
        <v>593</v>
      </c>
    </row>
    <row r="96" spans="1:20" ht="14.25" customHeight="1" x14ac:dyDescent="0.3">
      <c r="A96" s="16"/>
      <c r="B96" s="14"/>
      <c r="C96" s="15"/>
      <c r="D96" s="26"/>
      <c r="E96" s="101" t="s">
        <v>220</v>
      </c>
      <c r="F96" s="96">
        <f>5%*D95</f>
        <v>12.425000000000001</v>
      </c>
      <c r="G96" s="97"/>
      <c r="H96" s="96">
        <f>SUM(F96:G96)</f>
        <v>12.425000000000001</v>
      </c>
      <c r="I96" s="97"/>
      <c r="J96" s="97"/>
      <c r="K96" s="97"/>
      <c r="L96" s="97"/>
      <c r="M96" s="97"/>
      <c r="N96" s="35"/>
      <c r="O96" s="40"/>
      <c r="P96" s="167">
        <f t="shared" si="25"/>
        <v>0</v>
      </c>
      <c r="Q96" s="16"/>
      <c r="S96" s="1" t="s">
        <v>594</v>
      </c>
    </row>
    <row r="97" spans="1:24" ht="22.5" customHeight="1" x14ac:dyDescent="0.3">
      <c r="A97" s="16"/>
      <c r="B97" s="14" t="s">
        <v>59</v>
      </c>
      <c r="C97" s="15" t="s">
        <v>21</v>
      </c>
      <c r="D97" s="18">
        <v>156.94999999999999</v>
      </c>
      <c r="E97" s="101" t="s">
        <v>203</v>
      </c>
      <c r="F97" s="145"/>
      <c r="G97" s="145">
        <v>2</v>
      </c>
      <c r="H97" s="96">
        <f t="shared" si="24"/>
        <v>2</v>
      </c>
      <c r="I97" s="97">
        <v>0</v>
      </c>
      <c r="J97" s="97"/>
      <c r="K97" s="97">
        <v>0</v>
      </c>
      <c r="L97" s="97">
        <v>3</v>
      </c>
      <c r="M97" s="97">
        <f>SUM(I97:L97)</f>
        <v>3</v>
      </c>
      <c r="N97" s="35"/>
      <c r="O97" s="36"/>
      <c r="P97" s="167">
        <f t="shared" si="25"/>
        <v>9000000</v>
      </c>
      <c r="Q97" s="16"/>
      <c r="S97" s="1" t="s">
        <v>595</v>
      </c>
    </row>
    <row r="98" spans="1:24" ht="15.75" customHeight="1" x14ac:dyDescent="0.3">
      <c r="A98" s="16"/>
      <c r="B98" s="14"/>
      <c r="C98" s="15"/>
      <c r="D98" s="18"/>
      <c r="E98" s="101" t="s">
        <v>220</v>
      </c>
      <c r="F98" s="96">
        <f>5%*D97</f>
        <v>7.8475000000000001</v>
      </c>
      <c r="G98" s="97"/>
      <c r="H98" s="96">
        <f>SUM(F98:G98)</f>
        <v>7.8475000000000001</v>
      </c>
      <c r="I98" s="97"/>
      <c r="J98" s="97"/>
      <c r="K98" s="97"/>
      <c r="L98" s="97"/>
      <c r="M98" s="97"/>
      <c r="N98" s="35"/>
      <c r="O98" s="36"/>
      <c r="P98" s="167">
        <f t="shared" si="25"/>
        <v>0</v>
      </c>
      <c r="Q98" s="16"/>
    </row>
    <row r="99" spans="1:24" ht="24" customHeight="1" x14ac:dyDescent="0.3">
      <c r="A99" s="16"/>
      <c r="B99" s="14" t="s">
        <v>60</v>
      </c>
      <c r="C99" s="15" t="s">
        <v>43</v>
      </c>
      <c r="D99" s="26">
        <v>455.8</v>
      </c>
      <c r="E99" s="101" t="s">
        <v>221</v>
      </c>
      <c r="F99" s="96">
        <f>5%*D99</f>
        <v>22.790000000000003</v>
      </c>
      <c r="G99" s="97">
        <v>0</v>
      </c>
      <c r="H99" s="96">
        <f t="shared" si="24"/>
        <v>22.790000000000003</v>
      </c>
      <c r="I99" s="97">
        <v>0</v>
      </c>
      <c r="J99" s="97"/>
      <c r="K99" s="97">
        <v>0</v>
      </c>
      <c r="L99" s="97">
        <v>2</v>
      </c>
      <c r="M99" s="97">
        <f>SUM(I99:L99)</f>
        <v>2</v>
      </c>
      <c r="N99" s="35"/>
      <c r="O99" s="36"/>
      <c r="P99" s="167">
        <f t="shared" si="25"/>
        <v>0</v>
      </c>
      <c r="Q99" s="16"/>
    </row>
    <row r="100" spans="1:24" ht="20.25" customHeight="1" x14ac:dyDescent="0.3">
      <c r="A100" s="16"/>
      <c r="B100" s="14"/>
      <c r="C100" s="15"/>
      <c r="D100" s="26"/>
      <c r="E100" s="101" t="s">
        <v>220</v>
      </c>
      <c r="F100" s="96">
        <f>5%*D99</f>
        <v>22.790000000000003</v>
      </c>
      <c r="G100" s="96">
        <f>1%*D99</f>
        <v>4.5579999999999998</v>
      </c>
      <c r="H100" s="96">
        <f>SUM(F100:G100)</f>
        <v>27.348000000000003</v>
      </c>
      <c r="I100" s="97"/>
      <c r="J100" s="97"/>
      <c r="K100" s="97"/>
      <c r="L100" s="97"/>
      <c r="M100" s="97"/>
      <c r="N100" s="35"/>
      <c r="O100" s="36"/>
      <c r="P100" s="167">
        <f t="shared" si="25"/>
        <v>20511000</v>
      </c>
      <c r="Q100" s="16"/>
    </row>
    <row r="101" spans="1:24" ht="23.25" customHeight="1" x14ac:dyDescent="0.3">
      <c r="A101" s="16"/>
      <c r="B101" s="14" t="s">
        <v>61</v>
      </c>
      <c r="C101" s="15" t="s">
        <v>44</v>
      </c>
      <c r="D101" s="26">
        <v>87.95</v>
      </c>
      <c r="E101" s="101" t="s">
        <v>203</v>
      </c>
      <c r="F101" s="26">
        <f>10%*D101</f>
        <v>8.7949999999999999</v>
      </c>
      <c r="G101" s="219">
        <v>0</v>
      </c>
      <c r="H101" s="26">
        <f t="shared" si="24"/>
        <v>8.7949999999999999</v>
      </c>
      <c r="I101" s="19">
        <v>0</v>
      </c>
      <c r="J101" s="19"/>
      <c r="K101" s="19">
        <v>2</v>
      </c>
      <c r="L101" s="19">
        <v>3</v>
      </c>
      <c r="M101" s="19">
        <f t="shared" ref="M101:M119" si="26">SUM(I101:L101)</f>
        <v>5</v>
      </c>
      <c r="N101" s="35"/>
      <c r="O101" s="36"/>
      <c r="P101" s="167">
        <f t="shared" si="25"/>
        <v>0</v>
      </c>
      <c r="Q101" s="16"/>
    </row>
    <row r="102" spans="1:24" ht="18.75" customHeight="1" x14ac:dyDescent="0.3">
      <c r="A102" s="87"/>
      <c r="B102" s="14"/>
      <c r="C102" s="15"/>
      <c r="D102" s="26"/>
      <c r="E102" s="101" t="s">
        <v>220</v>
      </c>
      <c r="F102" s="26"/>
      <c r="G102" s="220">
        <f>5%*D101</f>
        <v>4.3975</v>
      </c>
      <c r="H102" s="26">
        <f>SUM(F102:G102)</f>
        <v>4.3975</v>
      </c>
      <c r="I102" s="97">
        <v>0</v>
      </c>
      <c r="J102" s="97">
        <v>0</v>
      </c>
      <c r="K102" s="97">
        <v>0</v>
      </c>
      <c r="L102" s="97">
        <v>0</v>
      </c>
      <c r="M102" s="97">
        <f t="shared" si="26"/>
        <v>0</v>
      </c>
      <c r="N102" s="35"/>
      <c r="O102" s="36"/>
      <c r="P102" s="167">
        <f t="shared" si="25"/>
        <v>19788750</v>
      </c>
      <c r="Q102" s="16"/>
    </row>
    <row r="103" spans="1:24" ht="18.75" customHeight="1" x14ac:dyDescent="0.3">
      <c r="A103" s="75"/>
      <c r="B103" s="72" t="s">
        <v>350</v>
      </c>
      <c r="C103" s="72"/>
      <c r="D103" s="73">
        <f>SUM(D87:D102)</f>
        <v>1575.19</v>
      </c>
      <c r="E103" s="74"/>
      <c r="F103" s="73">
        <f>SUM(F80:F102)</f>
        <v>145.34419999999997</v>
      </c>
      <c r="G103" s="83">
        <f>SUM(G80:G102)</f>
        <v>39.425800000000002</v>
      </c>
      <c r="H103" s="73">
        <f>SUM(H80:H102)</f>
        <v>184.77</v>
      </c>
      <c r="I103" s="83">
        <f>SUM(I87:I102)</f>
        <v>0</v>
      </c>
      <c r="J103" s="83">
        <f>SUM(J87:J102)</f>
        <v>0</v>
      </c>
      <c r="K103" s="83">
        <f>SUM(K87:K102)</f>
        <v>6</v>
      </c>
      <c r="L103" s="83">
        <f>SUM(L87:L102)</f>
        <v>20</v>
      </c>
      <c r="M103" s="83">
        <f>SUM(M86:M102)</f>
        <v>26</v>
      </c>
      <c r="N103" s="76"/>
      <c r="O103" s="77"/>
      <c r="P103" s="168">
        <f>SUM(P92:P102)</f>
        <v>87207750</v>
      </c>
      <c r="Q103" s="75"/>
    </row>
    <row r="104" spans="1:24" ht="18.75" customHeight="1" x14ac:dyDescent="0.3">
      <c r="A104" s="222">
        <v>8</v>
      </c>
      <c r="B104" s="8" t="s">
        <v>608</v>
      </c>
      <c r="C104" s="10"/>
      <c r="D104" s="90"/>
      <c r="E104" s="67"/>
      <c r="F104" s="66"/>
      <c r="G104" s="218"/>
      <c r="H104" s="66"/>
      <c r="I104" s="82"/>
      <c r="J104" s="82"/>
      <c r="K104" s="82"/>
      <c r="L104" s="82"/>
      <c r="M104" s="82"/>
      <c r="N104" s="69"/>
      <c r="O104" s="70"/>
      <c r="P104" s="70"/>
      <c r="Q104" s="87"/>
    </row>
    <row r="105" spans="1:24" ht="18.75" customHeight="1" x14ac:dyDescent="0.3">
      <c r="A105" s="87"/>
      <c r="B105" s="14" t="s">
        <v>57</v>
      </c>
      <c r="C105" s="15" t="s">
        <v>609</v>
      </c>
      <c r="D105" s="26">
        <v>15</v>
      </c>
      <c r="E105" s="101" t="s">
        <v>611</v>
      </c>
      <c r="F105" s="96">
        <f>4%*D105</f>
        <v>0.6</v>
      </c>
      <c r="G105" s="97">
        <f>10%*D105</f>
        <v>1.5</v>
      </c>
      <c r="H105" s="96">
        <f t="shared" ref="H105" si="27">SUM(F105:G105)</f>
        <v>2.1</v>
      </c>
      <c r="I105" s="97">
        <v>0</v>
      </c>
      <c r="J105" s="97"/>
      <c r="K105" s="96">
        <v>1</v>
      </c>
      <c r="L105" s="97"/>
      <c r="M105" s="97">
        <f>SUM(I105:L105)</f>
        <v>1</v>
      </c>
      <c r="N105" s="35" t="s">
        <v>51</v>
      </c>
      <c r="O105" s="40" t="s">
        <v>133</v>
      </c>
      <c r="P105" s="167">
        <f t="shared" ref="P105:P117" si="28">G105*0.93*30%*10000000</f>
        <v>4185000</v>
      </c>
      <c r="Q105" s="87"/>
    </row>
    <row r="106" spans="1:24" ht="18.75" customHeight="1" x14ac:dyDescent="0.3">
      <c r="A106" s="87"/>
      <c r="B106" s="14"/>
      <c r="C106" s="15"/>
      <c r="D106" s="26"/>
      <c r="E106" s="101" t="s">
        <v>612</v>
      </c>
      <c r="F106" s="96">
        <f>1%*D105</f>
        <v>0.15</v>
      </c>
      <c r="G106" s="96">
        <f>2%*D105</f>
        <v>0.3</v>
      </c>
      <c r="H106" s="96">
        <f>SUM(F106:G106)</f>
        <v>0.44999999999999996</v>
      </c>
      <c r="I106" s="97">
        <v>0</v>
      </c>
      <c r="J106" s="97"/>
      <c r="K106" s="96">
        <v>1</v>
      </c>
      <c r="L106" s="97"/>
      <c r="M106" s="97">
        <f>SUM(I106:L106)</f>
        <v>1</v>
      </c>
      <c r="N106" s="35"/>
      <c r="O106" s="40"/>
      <c r="P106" s="167">
        <f>G106*0.93*80%*10000000</f>
        <v>2232000.0000000005</v>
      </c>
      <c r="Q106" s="87"/>
    </row>
    <row r="107" spans="1:24" ht="18.75" customHeight="1" x14ac:dyDescent="0.3">
      <c r="A107" s="87"/>
      <c r="B107" s="14" t="s">
        <v>58</v>
      </c>
      <c r="C107" s="15" t="s">
        <v>180</v>
      </c>
      <c r="D107" s="26">
        <v>12</v>
      </c>
      <c r="E107" s="101" t="s">
        <v>611</v>
      </c>
      <c r="F107" s="96">
        <f>3%*D107</f>
        <v>0.36</v>
      </c>
      <c r="G107" s="97">
        <f>5%*D107</f>
        <v>0.60000000000000009</v>
      </c>
      <c r="H107" s="96">
        <f t="shared" ref="H107" si="29">SUM(F107:G107)</f>
        <v>0.96000000000000008</v>
      </c>
      <c r="I107" s="97">
        <v>0</v>
      </c>
      <c r="J107" s="97"/>
      <c r="K107" s="96">
        <v>0</v>
      </c>
      <c r="L107" s="97"/>
      <c r="M107" s="97">
        <f>SUM(I107:L107)</f>
        <v>0</v>
      </c>
      <c r="N107" s="35" t="s">
        <v>51</v>
      </c>
      <c r="O107" s="40" t="s">
        <v>137</v>
      </c>
      <c r="P107" s="167">
        <f t="shared" si="28"/>
        <v>1674000.0000000005</v>
      </c>
      <c r="Q107" s="87"/>
    </row>
    <row r="108" spans="1:24" ht="18.75" customHeight="1" x14ac:dyDescent="0.3">
      <c r="A108" s="87"/>
      <c r="B108" s="14"/>
      <c r="C108" s="15"/>
      <c r="D108" s="26"/>
      <c r="E108" s="101" t="s">
        <v>612</v>
      </c>
      <c r="F108" s="96">
        <f>5%*D107</f>
        <v>0.60000000000000009</v>
      </c>
      <c r="G108" s="97"/>
      <c r="H108" s="96">
        <f>SUM(F108:G108)</f>
        <v>0.60000000000000009</v>
      </c>
      <c r="I108" s="97"/>
      <c r="J108" s="97"/>
      <c r="K108" s="96"/>
      <c r="L108" s="97"/>
      <c r="M108" s="97"/>
      <c r="N108" s="35" t="s">
        <v>51</v>
      </c>
      <c r="O108" s="40" t="s">
        <v>613</v>
      </c>
      <c r="P108" s="167">
        <f>G108*0.93*80%*10000000</f>
        <v>0</v>
      </c>
      <c r="Q108" s="87"/>
    </row>
    <row r="109" spans="1:24" ht="18.75" customHeight="1" x14ac:dyDescent="0.3">
      <c r="A109" s="87"/>
      <c r="B109" s="14" t="s">
        <v>59</v>
      </c>
      <c r="C109" s="15" t="s">
        <v>43</v>
      </c>
      <c r="D109" s="18">
        <v>7</v>
      </c>
      <c r="E109" s="101" t="s">
        <v>611</v>
      </c>
      <c r="F109" s="145"/>
      <c r="G109" s="145">
        <v>2</v>
      </c>
      <c r="H109" s="96">
        <f t="shared" ref="H109" si="30">SUM(F109:G109)</f>
        <v>2</v>
      </c>
      <c r="I109" s="97">
        <v>0</v>
      </c>
      <c r="J109" s="97"/>
      <c r="K109" s="96">
        <v>0</v>
      </c>
      <c r="L109" s="97"/>
      <c r="M109" s="97">
        <f>SUM(I109:L109)</f>
        <v>0</v>
      </c>
      <c r="N109" s="35"/>
      <c r="O109" s="36" t="s">
        <v>614</v>
      </c>
      <c r="P109" s="167">
        <f t="shared" si="28"/>
        <v>5580000.0000000009</v>
      </c>
      <c r="Q109" s="87"/>
      <c r="S109" s="1" t="s">
        <v>615</v>
      </c>
    </row>
    <row r="110" spans="1:24" ht="18.75" customHeight="1" x14ac:dyDescent="0.3">
      <c r="A110" s="87"/>
      <c r="B110" s="14"/>
      <c r="C110" s="15"/>
      <c r="D110" s="18"/>
      <c r="E110" s="101" t="s">
        <v>612</v>
      </c>
      <c r="F110" s="96">
        <f>5%*D109</f>
        <v>0.35000000000000003</v>
      </c>
      <c r="G110" s="97"/>
      <c r="H110" s="96">
        <f>SUM(F110:G110)</f>
        <v>0.35000000000000003</v>
      </c>
      <c r="I110" s="97"/>
      <c r="J110" s="97"/>
      <c r="K110" s="96"/>
      <c r="L110" s="97"/>
      <c r="M110" s="97"/>
      <c r="N110" s="35"/>
      <c r="O110" s="36"/>
      <c r="P110" s="167">
        <f>G110*0.93*80%*10000000</f>
        <v>0</v>
      </c>
      <c r="Q110" s="87"/>
      <c r="S110" s="1" t="s">
        <v>616</v>
      </c>
      <c r="U110" s="150" t="s">
        <v>316</v>
      </c>
      <c r="V110" s="1" t="s">
        <v>617</v>
      </c>
      <c r="W110" s="150" t="s">
        <v>316</v>
      </c>
      <c r="X110" s="1" t="s">
        <v>618</v>
      </c>
    </row>
    <row r="111" spans="1:24" ht="18.75" customHeight="1" x14ac:dyDescent="0.3">
      <c r="A111" s="87"/>
      <c r="B111" s="14" t="s">
        <v>60</v>
      </c>
      <c r="C111" s="15" t="s">
        <v>27</v>
      </c>
      <c r="D111" s="26">
        <v>2</v>
      </c>
      <c r="E111" s="101" t="s">
        <v>611</v>
      </c>
      <c r="F111" s="96">
        <f>5%*D111</f>
        <v>0.1</v>
      </c>
      <c r="G111" s="96">
        <f>5%*D111</f>
        <v>0.1</v>
      </c>
      <c r="H111" s="96">
        <f t="shared" ref="H111" si="31">SUM(F111:G111)</f>
        <v>0.2</v>
      </c>
      <c r="I111" s="97">
        <v>0</v>
      </c>
      <c r="J111" s="97"/>
      <c r="K111" s="96">
        <v>0</v>
      </c>
      <c r="L111" s="97"/>
      <c r="M111" s="97">
        <f>SUM(I111:L111)</f>
        <v>0</v>
      </c>
      <c r="N111" s="35"/>
      <c r="O111" s="36"/>
      <c r="P111" s="167">
        <f t="shared" si="28"/>
        <v>279000.00000000006</v>
      </c>
      <c r="Q111" s="87"/>
      <c r="S111" s="1" t="s">
        <v>619</v>
      </c>
      <c r="U111" s="1" t="s">
        <v>620</v>
      </c>
      <c r="W111" s="150" t="s">
        <v>316</v>
      </c>
      <c r="X111" s="1" t="s">
        <v>621</v>
      </c>
    </row>
    <row r="112" spans="1:24" ht="18.75" customHeight="1" x14ac:dyDescent="0.3">
      <c r="A112" s="87"/>
      <c r="B112" s="14"/>
      <c r="C112" s="15"/>
      <c r="D112" s="26"/>
      <c r="E112" s="101" t="s">
        <v>612</v>
      </c>
      <c r="F112" s="96">
        <f>5%*D111</f>
        <v>0.1</v>
      </c>
      <c r="G112" s="96">
        <f>1%*D111</f>
        <v>0.02</v>
      </c>
      <c r="H112" s="96">
        <f>SUM(F112:G112)</f>
        <v>0.12000000000000001</v>
      </c>
      <c r="I112" s="97"/>
      <c r="J112" s="97"/>
      <c r="K112" s="96"/>
      <c r="L112" s="97"/>
      <c r="M112" s="97"/>
      <c r="N112" s="35"/>
      <c r="O112" s="36"/>
      <c r="P112" s="167">
        <f>G112*0.93*80%*10000000</f>
        <v>148800.00000000003</v>
      </c>
      <c r="Q112" s="87"/>
    </row>
    <row r="113" spans="1:17" ht="18.75" customHeight="1" x14ac:dyDescent="0.3">
      <c r="A113" s="87"/>
      <c r="B113" s="14" t="s">
        <v>61</v>
      </c>
      <c r="C113" s="15" t="s">
        <v>35</v>
      </c>
      <c r="D113" s="26">
        <v>11</v>
      </c>
      <c r="E113" s="101" t="s">
        <v>611</v>
      </c>
      <c r="F113" s="26">
        <f>10%*D113</f>
        <v>1.1000000000000001</v>
      </c>
      <c r="G113" s="219">
        <f>5%*D113</f>
        <v>0.55000000000000004</v>
      </c>
      <c r="H113" s="26">
        <f t="shared" ref="H113" si="32">SUM(F113:G113)</f>
        <v>1.6500000000000001</v>
      </c>
      <c r="I113" s="19">
        <v>0</v>
      </c>
      <c r="J113" s="19"/>
      <c r="K113" s="26">
        <v>1</v>
      </c>
      <c r="L113" s="19"/>
      <c r="M113" s="135">
        <f t="shared" ref="M113:M114" si="33">SUM(I113:L113)</f>
        <v>1</v>
      </c>
      <c r="N113" s="35"/>
      <c r="O113" s="36"/>
      <c r="P113" s="167">
        <f t="shared" si="28"/>
        <v>1534500</v>
      </c>
      <c r="Q113" s="87"/>
    </row>
    <row r="114" spans="1:17" ht="18.75" customHeight="1" x14ac:dyDescent="0.3">
      <c r="A114" s="87"/>
      <c r="B114" s="14"/>
      <c r="C114" s="15"/>
      <c r="D114" s="26"/>
      <c r="E114" s="101" t="s">
        <v>612</v>
      </c>
      <c r="F114" s="26"/>
      <c r="G114" s="220">
        <f>5%*D113</f>
        <v>0.55000000000000004</v>
      </c>
      <c r="H114" s="26">
        <f>SUM(F114:G114)</f>
        <v>0.55000000000000004</v>
      </c>
      <c r="I114" s="97">
        <v>0</v>
      </c>
      <c r="J114" s="97">
        <v>0</v>
      </c>
      <c r="K114" s="96">
        <v>0.75</v>
      </c>
      <c r="L114" s="97">
        <v>0</v>
      </c>
      <c r="M114" s="96">
        <f t="shared" si="33"/>
        <v>0.75</v>
      </c>
      <c r="N114" s="35"/>
      <c r="O114" s="36"/>
      <c r="P114" s="167">
        <f>G114*0.93*80%*10000000</f>
        <v>4092000.0000000005</v>
      </c>
      <c r="Q114" s="87"/>
    </row>
    <row r="115" spans="1:17" ht="18.75" customHeight="1" x14ac:dyDescent="0.3">
      <c r="A115" s="87"/>
      <c r="B115" s="55" t="s">
        <v>62</v>
      </c>
      <c r="C115" s="15" t="s">
        <v>32</v>
      </c>
      <c r="D115" s="26">
        <v>5</v>
      </c>
      <c r="E115" s="101" t="s">
        <v>611</v>
      </c>
      <c r="F115" s="26">
        <f>10%*D115</f>
        <v>0.5</v>
      </c>
      <c r="G115" s="219">
        <v>0</v>
      </c>
      <c r="H115" s="26">
        <f t="shared" ref="H115" si="34">SUM(F115:G115)</f>
        <v>0.5</v>
      </c>
      <c r="I115" s="19">
        <v>0</v>
      </c>
      <c r="J115" s="19"/>
      <c r="K115" s="26"/>
      <c r="L115" s="19"/>
      <c r="M115" s="19">
        <f t="shared" ref="M115:M116" si="35">SUM(I115:L115)</f>
        <v>0</v>
      </c>
      <c r="N115" s="35"/>
      <c r="O115" s="36"/>
      <c r="P115" s="167">
        <f t="shared" si="28"/>
        <v>0</v>
      </c>
      <c r="Q115" s="87"/>
    </row>
    <row r="116" spans="1:17" ht="18.75" customHeight="1" x14ac:dyDescent="0.3">
      <c r="A116" s="87"/>
      <c r="B116" s="55"/>
      <c r="C116" s="15"/>
      <c r="D116" s="26"/>
      <c r="E116" s="101" t="s">
        <v>612</v>
      </c>
      <c r="F116" s="26"/>
      <c r="G116" s="220">
        <f>5%*D115</f>
        <v>0.25</v>
      </c>
      <c r="H116" s="26">
        <f>SUM(F116:G116)</f>
        <v>0.25</v>
      </c>
      <c r="I116" s="97">
        <v>0</v>
      </c>
      <c r="J116" s="97">
        <v>0</v>
      </c>
      <c r="K116" s="96">
        <v>0</v>
      </c>
      <c r="L116" s="97">
        <v>0</v>
      </c>
      <c r="M116" s="97">
        <f t="shared" si="35"/>
        <v>0</v>
      </c>
      <c r="N116" s="35"/>
      <c r="O116" s="36"/>
      <c r="P116" s="167">
        <f>G116*0.93*80%*10000000</f>
        <v>1860000.0000000002</v>
      </c>
      <c r="Q116" s="87"/>
    </row>
    <row r="117" spans="1:17" ht="18.75" customHeight="1" x14ac:dyDescent="0.3">
      <c r="A117" s="87"/>
      <c r="B117" s="55" t="s">
        <v>63</v>
      </c>
      <c r="C117" s="15" t="s">
        <v>34</v>
      </c>
      <c r="D117" s="26">
        <v>28</v>
      </c>
      <c r="E117" s="101" t="s">
        <v>611</v>
      </c>
      <c r="F117" s="26">
        <f>10%*D117</f>
        <v>2.8000000000000003</v>
      </c>
      <c r="G117" s="220">
        <f>5%*D117</f>
        <v>1.4000000000000001</v>
      </c>
      <c r="H117" s="26">
        <f t="shared" ref="H117" si="36">SUM(F117:G117)</f>
        <v>4.2</v>
      </c>
      <c r="I117" s="19">
        <v>0</v>
      </c>
      <c r="J117" s="19"/>
      <c r="K117" s="26">
        <v>1</v>
      </c>
      <c r="L117" s="19"/>
      <c r="M117" s="19">
        <f t="shared" ref="M117:M118" si="37">SUM(I117:L117)</f>
        <v>1</v>
      </c>
      <c r="N117" s="35"/>
      <c r="O117" s="36"/>
      <c r="P117" s="167">
        <f t="shared" si="28"/>
        <v>3906000.0000000005</v>
      </c>
      <c r="Q117" s="87"/>
    </row>
    <row r="118" spans="1:17" ht="18.75" customHeight="1" x14ac:dyDescent="0.3">
      <c r="A118" s="87"/>
      <c r="B118" s="55"/>
      <c r="C118" s="15"/>
      <c r="D118" s="26"/>
      <c r="E118" s="101" t="s">
        <v>612</v>
      </c>
      <c r="F118" s="26"/>
      <c r="G118" s="220">
        <f>5%*D117</f>
        <v>1.4000000000000001</v>
      </c>
      <c r="H118" s="26">
        <f>SUM(F118:G118)</f>
        <v>1.4000000000000001</v>
      </c>
      <c r="I118" s="97">
        <v>0</v>
      </c>
      <c r="J118" s="97">
        <v>0</v>
      </c>
      <c r="K118" s="96">
        <v>1</v>
      </c>
      <c r="L118" s="97">
        <v>0</v>
      </c>
      <c r="M118" s="97">
        <f t="shared" si="37"/>
        <v>1</v>
      </c>
      <c r="N118" s="35"/>
      <c r="O118" s="36"/>
      <c r="P118" s="167">
        <f>G118*0.93*80%*10000000</f>
        <v>10416000.000000004</v>
      </c>
      <c r="Q118" s="87"/>
    </row>
    <row r="119" spans="1:17" ht="7.5" customHeight="1" x14ac:dyDescent="0.3">
      <c r="A119" s="87"/>
      <c r="B119" s="55"/>
      <c r="C119" s="56"/>
      <c r="D119" s="57"/>
      <c r="E119" s="132"/>
      <c r="F119" s="124"/>
      <c r="G119" s="124"/>
      <c r="H119" s="124">
        <f>SUM(F119:G119)</f>
        <v>0</v>
      </c>
      <c r="I119" s="133">
        <v>0</v>
      </c>
      <c r="J119" s="133">
        <v>0</v>
      </c>
      <c r="K119" s="124">
        <v>0</v>
      </c>
      <c r="L119" s="133">
        <v>0</v>
      </c>
      <c r="M119" s="133">
        <f t="shared" si="26"/>
        <v>0</v>
      </c>
      <c r="N119" s="80"/>
      <c r="O119" s="81"/>
      <c r="P119" s="171"/>
      <c r="Q119" s="87"/>
    </row>
    <row r="120" spans="1:17" ht="18.75" customHeight="1" x14ac:dyDescent="0.3">
      <c r="A120" s="75"/>
      <c r="B120" s="72" t="s">
        <v>610</v>
      </c>
      <c r="C120" s="72"/>
      <c r="D120" s="73">
        <f>SUM(D105:D119)</f>
        <v>80</v>
      </c>
      <c r="E120" s="74"/>
      <c r="F120" s="73">
        <f>SUM(F86:F119)</f>
        <v>282.41800000000012</v>
      </c>
      <c r="G120" s="83">
        <f>SUM(G105:G119)</f>
        <v>8.67</v>
      </c>
      <c r="H120" s="73">
        <f>SUM(H86:H119)</f>
        <v>364.77530000000002</v>
      </c>
      <c r="I120" s="83">
        <f>SUM(I93:I119)</f>
        <v>0</v>
      </c>
      <c r="J120" s="83">
        <f>SUM(J93:J119)</f>
        <v>0</v>
      </c>
      <c r="K120" s="73">
        <f>SUM(K93:K119)</f>
        <v>13.75</v>
      </c>
      <c r="L120" s="83">
        <f>SUM(L93:L119)</f>
        <v>40</v>
      </c>
      <c r="M120" s="83">
        <f>SUM(M92:M119)</f>
        <v>53.75</v>
      </c>
      <c r="N120" s="76"/>
      <c r="O120" s="77"/>
      <c r="P120" s="168">
        <f>SUM(P93:P119)</f>
        <v>210322800</v>
      </c>
      <c r="Q120" s="75"/>
    </row>
    <row r="121" spans="1:17" ht="8.25" customHeight="1" x14ac:dyDescent="0.3">
      <c r="F121" s="2"/>
      <c r="G121" s="2"/>
      <c r="H121" s="2"/>
      <c r="I121" s="2"/>
      <c r="J121" s="2"/>
      <c r="K121" s="2"/>
      <c r="L121" s="2"/>
      <c r="M121" s="2"/>
    </row>
    <row r="122" spans="1:17" ht="14.25" customHeight="1" x14ac:dyDescent="0.3">
      <c r="F122" s="2"/>
      <c r="G122" s="2"/>
      <c r="H122" s="2"/>
      <c r="I122" s="2"/>
      <c r="J122" s="2" t="s">
        <v>606</v>
      </c>
      <c r="K122" s="2"/>
      <c r="L122" s="2"/>
      <c r="M122" s="2"/>
    </row>
    <row r="123" spans="1:17" ht="12" customHeight="1" x14ac:dyDescent="0.3">
      <c r="A123" s="395" t="s">
        <v>80</v>
      </c>
      <c r="B123" s="395"/>
      <c r="C123" s="395"/>
      <c r="D123" s="395"/>
    </row>
    <row r="124" spans="1:17" x14ac:dyDescent="0.3">
      <c r="A124" s="395" t="s">
        <v>81</v>
      </c>
      <c r="B124" s="395"/>
      <c r="C124" s="395"/>
      <c r="D124" s="395"/>
      <c r="J124" s="1" t="s">
        <v>85</v>
      </c>
    </row>
    <row r="125" spans="1:17" x14ac:dyDescent="0.3">
      <c r="A125" s="395" t="s">
        <v>82</v>
      </c>
      <c r="B125" s="395"/>
      <c r="C125" s="395"/>
      <c r="D125" s="395"/>
      <c r="J125" s="3" t="s">
        <v>86</v>
      </c>
      <c r="K125" s="1" t="s">
        <v>87</v>
      </c>
      <c r="O125" s="1" t="s">
        <v>90</v>
      </c>
    </row>
    <row r="126" spans="1:17" x14ac:dyDescent="0.3">
      <c r="A126" s="395" t="s">
        <v>83</v>
      </c>
      <c r="B126" s="395"/>
      <c r="C126" s="395"/>
      <c r="D126" s="395"/>
      <c r="K126" s="1" t="s">
        <v>91</v>
      </c>
    </row>
    <row r="127" spans="1:17" ht="13.5" customHeight="1" x14ac:dyDescent="0.3"/>
    <row r="128" spans="1:17" x14ac:dyDescent="0.3">
      <c r="J128" s="3" t="s">
        <v>88</v>
      </c>
      <c r="K128" s="1" t="s">
        <v>89</v>
      </c>
      <c r="O128" s="1" t="s">
        <v>90</v>
      </c>
    </row>
    <row r="129" spans="1:15" x14ac:dyDescent="0.3">
      <c r="K129" s="1" t="s">
        <v>92</v>
      </c>
    </row>
    <row r="130" spans="1:15" x14ac:dyDescent="0.3">
      <c r="A130" s="398" t="s">
        <v>175</v>
      </c>
      <c r="B130" s="398"/>
      <c r="C130" s="398"/>
      <c r="D130" s="398"/>
    </row>
    <row r="131" spans="1:15" x14ac:dyDescent="0.3">
      <c r="A131" s="395" t="s">
        <v>190</v>
      </c>
      <c r="B131" s="395"/>
      <c r="C131" s="395"/>
      <c r="D131" s="395"/>
      <c r="J131" s="1" t="s">
        <v>254</v>
      </c>
      <c r="K131" s="1" t="s">
        <v>255</v>
      </c>
      <c r="O131" s="1" t="s">
        <v>90</v>
      </c>
    </row>
    <row r="132" spans="1:15" x14ac:dyDescent="0.3">
      <c r="K132" s="1" t="s">
        <v>256</v>
      </c>
    </row>
  </sheetData>
  <mergeCells count="21">
    <mergeCell ref="A124:D124"/>
    <mergeCell ref="A125:D125"/>
    <mergeCell ref="A126:D126"/>
    <mergeCell ref="A130:D130"/>
    <mergeCell ref="A131:D131"/>
    <mergeCell ref="A123:D123"/>
    <mergeCell ref="A1:Q1"/>
    <mergeCell ref="A2:Q2"/>
    <mergeCell ref="A6:A7"/>
    <mergeCell ref="B6:C6"/>
    <mergeCell ref="D6:D7"/>
    <mergeCell ref="E6:E7"/>
    <mergeCell ref="F6:H6"/>
    <mergeCell ref="I6:M6"/>
    <mergeCell ref="N6:O7"/>
    <mergeCell ref="P6:P7"/>
    <mergeCell ref="Q6:Q7"/>
    <mergeCell ref="B7:C7"/>
    <mergeCell ref="B24:C24"/>
    <mergeCell ref="O26:O30"/>
    <mergeCell ref="B31:C31"/>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
  <sheetViews>
    <sheetView workbookViewId="0"/>
  </sheetViews>
  <sheetFormatPr defaultRowHeight="14.5" x14ac:dyDescent="0.3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X133"/>
  <sheetViews>
    <sheetView view="pageBreakPreview" zoomScale="96" zoomScaleNormal="100" zoomScaleSheetLayoutView="96" workbookViewId="0">
      <selection activeCell="K38" sqref="K38"/>
    </sheetView>
  </sheetViews>
  <sheetFormatPr defaultColWidth="9.1796875" defaultRowHeight="14" x14ac:dyDescent="0.3"/>
  <cols>
    <col min="1" max="1" width="5.26953125" style="1" customWidth="1"/>
    <col min="2" max="2" width="2.1796875" style="1" customWidth="1"/>
    <col min="3" max="3" width="17.1796875" style="1" customWidth="1"/>
    <col min="4" max="4" width="9.1796875" style="1" customWidth="1"/>
    <col min="5" max="5" width="26.81640625" style="1" customWidth="1"/>
    <col min="6" max="6" width="10" style="1" bestFit="1" customWidth="1"/>
    <col min="7" max="7" width="8.81640625" style="1" customWidth="1"/>
    <col min="8" max="8" width="9" style="1" customWidth="1"/>
    <col min="9" max="9" width="6.7265625" style="1" customWidth="1"/>
    <col min="10" max="10" width="7" style="1" customWidth="1"/>
    <col min="11" max="12" width="7.54296875" style="1" customWidth="1"/>
    <col min="13" max="13" width="6.81640625" style="1" bestFit="1" customWidth="1"/>
    <col min="14" max="14" width="2.1796875" style="1" customWidth="1"/>
    <col min="15" max="15" width="20.1796875" style="1" customWidth="1"/>
    <col min="16" max="16" width="14.453125" style="1" customWidth="1"/>
    <col min="17" max="17" width="8.81640625" style="1" customWidth="1"/>
    <col min="18" max="19" width="9.1796875" style="1"/>
    <col min="20" max="20" width="10.7265625" style="1" customWidth="1"/>
    <col min="21" max="16384" width="9.1796875" style="1"/>
  </cols>
  <sheetData>
    <row r="1" spans="1:20" x14ac:dyDescent="0.3">
      <c r="A1" s="385" t="s">
        <v>260</v>
      </c>
      <c r="B1" s="385"/>
      <c r="C1" s="385"/>
      <c r="D1" s="385"/>
      <c r="E1" s="385"/>
      <c r="F1" s="385"/>
      <c r="G1" s="385"/>
      <c r="H1" s="385"/>
      <c r="I1" s="385"/>
      <c r="J1" s="385"/>
      <c r="K1" s="385"/>
      <c r="L1" s="385"/>
      <c r="M1" s="385"/>
      <c r="N1" s="385"/>
      <c r="O1" s="385"/>
      <c r="P1" s="385"/>
      <c r="Q1" s="385"/>
    </row>
    <row r="2" spans="1:20" ht="14.25" customHeight="1" x14ac:dyDescent="0.3">
      <c r="A2" s="385" t="s">
        <v>261</v>
      </c>
      <c r="B2" s="385"/>
      <c r="C2" s="385"/>
      <c r="D2" s="385"/>
      <c r="E2" s="385"/>
      <c r="F2" s="385"/>
      <c r="G2" s="385"/>
      <c r="H2" s="385"/>
      <c r="I2" s="385"/>
      <c r="J2" s="385"/>
      <c r="K2" s="385"/>
      <c r="L2" s="385"/>
      <c r="M2" s="385"/>
      <c r="N2" s="385"/>
      <c r="O2" s="385"/>
      <c r="P2" s="385"/>
      <c r="Q2" s="385"/>
    </row>
    <row r="3" spans="1:20" ht="14.25" customHeight="1" x14ac:dyDescent="0.3">
      <c r="A3" s="1" t="s">
        <v>1</v>
      </c>
      <c r="C3" s="1" t="s">
        <v>603</v>
      </c>
    </row>
    <row r="4" spans="1:20" ht="14.25" customHeight="1" x14ac:dyDescent="0.3">
      <c r="A4" s="1" t="s">
        <v>2</v>
      </c>
      <c r="C4" s="1" t="s">
        <v>622</v>
      </c>
      <c r="D4" s="4"/>
    </row>
    <row r="6" spans="1:20" x14ac:dyDescent="0.3">
      <c r="A6" s="386" t="s">
        <v>3</v>
      </c>
      <c r="B6" s="388" t="s">
        <v>4</v>
      </c>
      <c r="C6" s="388"/>
      <c r="D6" s="389" t="s">
        <v>259</v>
      </c>
      <c r="E6" s="391" t="s">
        <v>7</v>
      </c>
      <c r="F6" s="393" t="s">
        <v>170</v>
      </c>
      <c r="G6" s="393"/>
      <c r="H6" s="393"/>
      <c r="I6" s="393" t="s">
        <v>12</v>
      </c>
      <c r="J6" s="393"/>
      <c r="K6" s="393"/>
      <c r="L6" s="393"/>
      <c r="M6" s="393"/>
      <c r="N6" s="391" t="s">
        <v>17</v>
      </c>
      <c r="O6" s="391"/>
      <c r="P6" s="391" t="s">
        <v>258</v>
      </c>
      <c r="Q6" s="386" t="s">
        <v>192</v>
      </c>
    </row>
    <row r="7" spans="1:20" x14ac:dyDescent="0.3">
      <c r="A7" s="387"/>
      <c r="B7" s="394" t="s">
        <v>5</v>
      </c>
      <c r="C7" s="394"/>
      <c r="D7" s="390"/>
      <c r="E7" s="392"/>
      <c r="F7" s="147" t="s">
        <v>9</v>
      </c>
      <c r="G7" s="147" t="s">
        <v>10</v>
      </c>
      <c r="H7" s="147" t="s">
        <v>11</v>
      </c>
      <c r="I7" s="147" t="s">
        <v>16</v>
      </c>
      <c r="J7" s="147" t="s">
        <v>13</v>
      </c>
      <c r="K7" s="147" t="s">
        <v>14</v>
      </c>
      <c r="L7" s="148" t="s">
        <v>257</v>
      </c>
      <c r="M7" s="147" t="s">
        <v>11</v>
      </c>
      <c r="N7" s="392"/>
      <c r="O7" s="392"/>
      <c r="P7" s="392"/>
      <c r="Q7" s="387"/>
    </row>
    <row r="8" spans="1:20" ht="9" customHeight="1" x14ac:dyDescent="0.3">
      <c r="A8" s="5"/>
      <c r="B8" s="8"/>
      <c r="C8" s="10"/>
      <c r="D8" s="5"/>
      <c r="E8" s="5"/>
      <c r="F8" s="5"/>
      <c r="G8" s="5"/>
      <c r="H8" s="5"/>
      <c r="I8" s="5"/>
      <c r="J8" s="5"/>
      <c r="K8" s="5"/>
      <c r="L8" s="5"/>
      <c r="M8" s="5"/>
      <c r="N8" s="8"/>
      <c r="O8" s="10"/>
      <c r="P8" s="10"/>
      <c r="Q8" s="5"/>
    </row>
    <row r="9" spans="1:20" ht="18.75" customHeight="1" x14ac:dyDescent="0.3">
      <c r="A9" s="13">
        <v>1</v>
      </c>
      <c r="B9" s="14" t="s">
        <v>20</v>
      </c>
      <c r="C9" s="15"/>
      <c r="D9" s="16"/>
      <c r="E9" s="47"/>
      <c r="F9" s="16"/>
      <c r="G9" s="16"/>
      <c r="H9" s="16"/>
      <c r="I9" s="16"/>
      <c r="J9" s="16"/>
      <c r="K9" s="16"/>
      <c r="L9" s="16"/>
      <c r="M9" s="16"/>
      <c r="N9" s="35"/>
      <c r="O9" s="36"/>
      <c r="P9" s="36"/>
      <c r="Q9" s="16"/>
    </row>
    <row r="10" spans="1:20" ht="18.75" customHeight="1" x14ac:dyDescent="0.3">
      <c r="A10" s="13"/>
      <c r="B10" s="17" t="s">
        <v>57</v>
      </c>
      <c r="C10" s="15" t="s">
        <v>21</v>
      </c>
      <c r="D10" s="18">
        <v>418.06</v>
      </c>
      <c r="E10" s="47" t="s">
        <v>36</v>
      </c>
      <c r="F10" s="26">
        <f>4%*D10</f>
        <v>16.7224</v>
      </c>
      <c r="G10" s="26">
        <v>5</v>
      </c>
      <c r="H10" s="26">
        <f>SUM(F10:G10)</f>
        <v>21.7224</v>
      </c>
      <c r="I10" s="19">
        <v>0</v>
      </c>
      <c r="J10" s="19"/>
      <c r="K10" s="19">
        <v>3</v>
      </c>
      <c r="L10" s="19">
        <v>4</v>
      </c>
      <c r="M10" s="20">
        <f>SUM(I10:L10)</f>
        <v>7</v>
      </c>
      <c r="N10" s="37"/>
      <c r="O10" s="36"/>
      <c r="P10" s="172">
        <f t="shared" ref="P10:P23" si="0">G10*0.261*12%*50000000</f>
        <v>7830000.0000000009</v>
      </c>
      <c r="Q10" s="16"/>
      <c r="S10" s="1" t="s">
        <v>333</v>
      </c>
      <c r="T10" s="1" t="s">
        <v>341</v>
      </c>
    </row>
    <row r="11" spans="1:20" ht="18.75" customHeight="1" x14ac:dyDescent="0.3">
      <c r="A11" s="13"/>
      <c r="B11" s="14"/>
      <c r="C11" s="15"/>
      <c r="D11" s="18"/>
      <c r="E11" s="47" t="s">
        <v>37</v>
      </c>
      <c r="F11" s="26">
        <f>4%*D10</f>
        <v>16.7224</v>
      </c>
      <c r="G11" s="26">
        <v>2</v>
      </c>
      <c r="H11" s="26">
        <f>SUM(F11:G11)</f>
        <v>18.7224</v>
      </c>
      <c r="I11" s="19">
        <v>0</v>
      </c>
      <c r="J11" s="19"/>
      <c r="K11" s="19"/>
      <c r="L11" s="19">
        <v>3</v>
      </c>
      <c r="M11" s="20">
        <f t="shared" ref="M11:M23" si="1">SUM(I11:L11)</f>
        <v>3</v>
      </c>
      <c r="N11" s="37" t="s">
        <v>51</v>
      </c>
      <c r="O11" s="38" t="s">
        <v>50</v>
      </c>
      <c r="P11" s="172">
        <f t="shared" si="0"/>
        <v>3132000</v>
      </c>
      <c r="Q11" s="16"/>
    </row>
    <row r="12" spans="1:20" ht="18.75" customHeight="1" x14ac:dyDescent="0.3">
      <c r="A12" s="13"/>
      <c r="B12" s="14"/>
      <c r="C12" s="15"/>
      <c r="D12" s="18"/>
      <c r="E12" s="47" t="s">
        <v>38</v>
      </c>
      <c r="F12" s="26">
        <f>3%*D10</f>
        <v>12.5418</v>
      </c>
      <c r="G12" s="26">
        <v>4</v>
      </c>
      <c r="H12" s="26">
        <f>SUM(F12:G12)</f>
        <v>16.541800000000002</v>
      </c>
      <c r="I12" s="19">
        <v>0</v>
      </c>
      <c r="J12" s="19"/>
      <c r="K12" s="19">
        <v>3</v>
      </c>
      <c r="L12" s="19">
        <v>4</v>
      </c>
      <c r="M12" s="20">
        <f t="shared" si="1"/>
        <v>7</v>
      </c>
      <c r="N12" s="37" t="s">
        <v>51</v>
      </c>
      <c r="O12" s="36" t="s">
        <v>49</v>
      </c>
      <c r="P12" s="172">
        <f t="shared" si="0"/>
        <v>6264000</v>
      </c>
      <c r="Q12" s="16"/>
      <c r="S12" s="1" t="s">
        <v>343</v>
      </c>
    </row>
    <row r="13" spans="1:20" ht="28.5" customHeight="1" x14ac:dyDescent="0.3">
      <c r="A13" s="13"/>
      <c r="B13" s="14"/>
      <c r="C13" s="15"/>
      <c r="D13" s="18"/>
      <c r="E13" s="48" t="s">
        <v>39</v>
      </c>
      <c r="F13" s="96">
        <f>20%*D10</f>
        <v>83.612000000000009</v>
      </c>
      <c r="G13" s="96">
        <v>4</v>
      </c>
      <c r="H13" s="96">
        <f>SUM(F13:G13)</f>
        <v>87.612000000000009</v>
      </c>
      <c r="I13" s="97">
        <v>0</v>
      </c>
      <c r="J13" s="97">
        <v>0</v>
      </c>
      <c r="K13" s="97">
        <v>0</v>
      </c>
      <c r="L13" s="97">
        <v>3</v>
      </c>
      <c r="M13" s="121">
        <f t="shared" si="1"/>
        <v>3</v>
      </c>
      <c r="N13" s="39" t="s">
        <v>51</v>
      </c>
      <c r="O13" s="40" t="s">
        <v>48</v>
      </c>
      <c r="P13" s="172">
        <f t="shared" si="0"/>
        <v>6264000</v>
      </c>
      <c r="Q13" s="16"/>
      <c r="S13" s="1" t="s">
        <v>342</v>
      </c>
    </row>
    <row r="14" spans="1:20" ht="18.75" customHeight="1" x14ac:dyDescent="0.3">
      <c r="A14" s="13"/>
      <c r="B14" s="17" t="s">
        <v>58</v>
      </c>
      <c r="C14" s="15" t="s">
        <v>22</v>
      </c>
      <c r="D14" s="18">
        <v>827.82</v>
      </c>
      <c r="E14" s="47" t="s">
        <v>36</v>
      </c>
      <c r="F14" s="26">
        <f>5%*D14</f>
        <v>41.391000000000005</v>
      </c>
      <c r="G14" s="26">
        <v>5</v>
      </c>
      <c r="H14" s="26">
        <f>SUM(F14:G14)</f>
        <v>46.391000000000005</v>
      </c>
      <c r="I14" s="19">
        <v>0</v>
      </c>
      <c r="J14" s="19"/>
      <c r="K14" s="19">
        <v>5</v>
      </c>
      <c r="L14" s="19">
        <v>5</v>
      </c>
      <c r="M14" s="20">
        <f t="shared" si="1"/>
        <v>10</v>
      </c>
      <c r="N14" s="35" t="s">
        <v>51</v>
      </c>
      <c r="O14" s="41" t="s">
        <v>137</v>
      </c>
      <c r="P14" s="172">
        <f t="shared" si="0"/>
        <v>7830000.0000000009</v>
      </c>
      <c r="Q14" s="16"/>
    </row>
    <row r="15" spans="1:20" ht="18.75" customHeight="1" x14ac:dyDescent="0.3">
      <c r="A15" s="13"/>
      <c r="B15" s="14"/>
      <c r="C15" s="15"/>
      <c r="D15" s="26"/>
      <c r="E15" s="47" t="s">
        <v>37</v>
      </c>
      <c r="F15" s="26">
        <f>3%*D14</f>
        <v>24.834600000000002</v>
      </c>
      <c r="G15" s="26">
        <v>3</v>
      </c>
      <c r="H15" s="26">
        <f t="shared" ref="H15:H17" si="2">SUM(F15:G15)</f>
        <v>27.834600000000002</v>
      </c>
      <c r="I15" s="19">
        <v>0</v>
      </c>
      <c r="J15" s="19"/>
      <c r="K15" s="19">
        <v>5</v>
      </c>
      <c r="L15" s="19">
        <v>5</v>
      </c>
      <c r="M15" s="20">
        <f t="shared" si="1"/>
        <v>10</v>
      </c>
      <c r="N15" s="35"/>
      <c r="O15" s="36"/>
      <c r="P15" s="172">
        <f t="shared" si="0"/>
        <v>4698000</v>
      </c>
      <c r="Q15" s="16"/>
      <c r="S15" s="1" t="s">
        <v>344</v>
      </c>
    </row>
    <row r="16" spans="1:20" ht="18.75" customHeight="1" x14ac:dyDescent="0.3">
      <c r="A16" s="13"/>
      <c r="B16" s="14"/>
      <c r="C16" s="15"/>
      <c r="D16" s="26"/>
      <c r="E16" s="47" t="s">
        <v>38</v>
      </c>
      <c r="F16" s="26">
        <f>4%*D14</f>
        <v>33.1128</v>
      </c>
      <c r="G16" s="26">
        <v>4</v>
      </c>
      <c r="H16" s="26">
        <f t="shared" si="2"/>
        <v>37.1128</v>
      </c>
      <c r="I16" s="19">
        <v>0</v>
      </c>
      <c r="J16" s="19"/>
      <c r="K16" s="19">
        <v>5</v>
      </c>
      <c r="L16" s="19">
        <v>3</v>
      </c>
      <c r="M16" s="20">
        <f t="shared" si="1"/>
        <v>8</v>
      </c>
      <c r="N16" s="35"/>
      <c r="O16" s="36"/>
      <c r="P16" s="172">
        <f t="shared" si="0"/>
        <v>6264000</v>
      </c>
      <c r="Q16" s="16"/>
      <c r="S16" s="1" t="s">
        <v>345</v>
      </c>
    </row>
    <row r="17" spans="1:19" ht="29.25" customHeight="1" x14ac:dyDescent="0.3">
      <c r="A17" s="54"/>
      <c r="B17" s="55"/>
      <c r="C17" s="56"/>
      <c r="D17" s="57"/>
      <c r="E17" s="58" t="s">
        <v>39</v>
      </c>
      <c r="F17" s="119">
        <f>6%*D14</f>
        <v>49.669200000000004</v>
      </c>
      <c r="G17" s="119">
        <f>5%*D14</f>
        <v>41.391000000000005</v>
      </c>
      <c r="H17" s="119">
        <f t="shared" si="2"/>
        <v>91.060200000000009</v>
      </c>
      <c r="I17" s="59">
        <v>0</v>
      </c>
      <c r="J17" s="59">
        <v>0</v>
      </c>
      <c r="K17" s="59">
        <v>0</v>
      </c>
      <c r="L17" s="59">
        <v>4</v>
      </c>
      <c r="M17" s="60">
        <f t="shared" si="1"/>
        <v>4</v>
      </c>
      <c r="N17" s="42"/>
      <c r="O17" s="38"/>
      <c r="P17" s="174">
        <f t="shared" si="0"/>
        <v>64818306</v>
      </c>
      <c r="Q17" s="29"/>
    </row>
    <row r="18" spans="1:19" ht="15" customHeight="1" x14ac:dyDescent="0.3">
      <c r="A18" s="54"/>
      <c r="B18" s="55" t="s">
        <v>59</v>
      </c>
      <c r="C18" s="56" t="s">
        <v>27</v>
      </c>
      <c r="D18" s="18">
        <v>113.45</v>
      </c>
      <c r="E18" s="47" t="s">
        <v>36</v>
      </c>
      <c r="F18" s="26">
        <f>50%*D18</f>
        <v>56.725000000000001</v>
      </c>
      <c r="G18" s="26">
        <v>3</v>
      </c>
      <c r="H18" s="26">
        <f>SUM(F18:G18)</f>
        <v>59.725000000000001</v>
      </c>
      <c r="I18" s="19">
        <v>0</v>
      </c>
      <c r="J18" s="19"/>
      <c r="K18" s="19">
        <v>2</v>
      </c>
      <c r="L18" s="19"/>
      <c r="M18" s="20">
        <f t="shared" si="1"/>
        <v>2</v>
      </c>
      <c r="N18" s="42"/>
      <c r="O18" s="38"/>
      <c r="P18" s="172">
        <f t="shared" si="0"/>
        <v>4698000</v>
      </c>
      <c r="Q18" s="29"/>
    </row>
    <row r="19" spans="1:19" ht="15" customHeight="1" x14ac:dyDescent="0.3">
      <c r="A19" s="54"/>
      <c r="B19" s="55"/>
      <c r="C19" s="56"/>
      <c r="D19" s="26"/>
      <c r="E19" s="47" t="s">
        <v>37</v>
      </c>
      <c r="F19" s="26">
        <f>2%*D18</f>
        <v>2.2690000000000001</v>
      </c>
      <c r="G19" s="26">
        <v>2</v>
      </c>
      <c r="H19" s="26">
        <f t="shared" ref="H19:H20" si="3">SUM(F19:G19)</f>
        <v>4.2690000000000001</v>
      </c>
      <c r="I19" s="19">
        <v>0</v>
      </c>
      <c r="J19" s="19"/>
      <c r="K19" s="19">
        <v>2</v>
      </c>
      <c r="L19" s="19">
        <v>1</v>
      </c>
      <c r="M19" s="20">
        <f t="shared" si="1"/>
        <v>3</v>
      </c>
      <c r="N19" s="42"/>
      <c r="O19" s="38"/>
      <c r="P19" s="172">
        <f t="shared" si="0"/>
        <v>3132000</v>
      </c>
      <c r="Q19" s="29"/>
    </row>
    <row r="20" spans="1:19" ht="14.25" customHeight="1" x14ac:dyDescent="0.3">
      <c r="A20" s="54"/>
      <c r="B20" s="55"/>
      <c r="C20" s="56"/>
      <c r="D20" s="26"/>
      <c r="E20" s="47" t="s">
        <v>38</v>
      </c>
      <c r="F20" s="26">
        <f>2%*D18</f>
        <v>2.2690000000000001</v>
      </c>
      <c r="G20" s="26">
        <f>10%*D18</f>
        <v>11.345000000000001</v>
      </c>
      <c r="H20" s="26">
        <f t="shared" si="3"/>
        <v>13.614000000000001</v>
      </c>
      <c r="I20" s="19">
        <v>0</v>
      </c>
      <c r="J20" s="19"/>
      <c r="K20" s="19">
        <v>4</v>
      </c>
      <c r="L20" s="19">
        <v>1</v>
      </c>
      <c r="M20" s="20">
        <f t="shared" si="1"/>
        <v>5</v>
      </c>
      <c r="N20" s="42"/>
      <c r="O20" s="38"/>
      <c r="P20" s="172">
        <f t="shared" si="0"/>
        <v>17766270</v>
      </c>
      <c r="Q20" s="29"/>
    </row>
    <row r="21" spans="1:19" ht="18.75" customHeight="1" x14ac:dyDescent="0.3">
      <c r="A21" s="13"/>
      <c r="B21" s="17" t="s">
        <v>60</v>
      </c>
      <c r="C21" s="15" t="s">
        <v>42</v>
      </c>
      <c r="D21" s="18">
        <v>526.28</v>
      </c>
      <c r="E21" s="47" t="s">
        <v>36</v>
      </c>
      <c r="F21" s="26">
        <f>50%*D18</f>
        <v>56.725000000000001</v>
      </c>
      <c r="G21" s="26">
        <f>5%*D21</f>
        <v>26.314</v>
      </c>
      <c r="H21" s="26">
        <f>SUM(F21:G21)</f>
        <v>83.039000000000001</v>
      </c>
      <c r="I21" s="19">
        <v>0</v>
      </c>
      <c r="J21" s="19"/>
      <c r="K21" s="19"/>
      <c r="L21" s="19">
        <v>4</v>
      </c>
      <c r="M21" s="20">
        <f t="shared" si="1"/>
        <v>4</v>
      </c>
      <c r="N21" s="35"/>
      <c r="O21" s="36"/>
      <c r="P21" s="172">
        <f t="shared" si="0"/>
        <v>41207724</v>
      </c>
      <c r="Q21" s="29"/>
    </row>
    <row r="22" spans="1:19" ht="18.75" customHeight="1" x14ac:dyDescent="0.3">
      <c r="A22" s="13"/>
      <c r="B22" s="14"/>
      <c r="C22" s="15"/>
      <c r="D22" s="26"/>
      <c r="E22" s="47" t="s">
        <v>37</v>
      </c>
      <c r="F22" s="26">
        <f>43%*D21</f>
        <v>226.3004</v>
      </c>
      <c r="G22" s="26">
        <f>3%*D21</f>
        <v>15.788399999999999</v>
      </c>
      <c r="H22" s="26">
        <f t="shared" ref="H22:H23" si="4">SUM(F22:G22)</f>
        <v>242.08879999999999</v>
      </c>
      <c r="I22" s="19">
        <v>0</v>
      </c>
      <c r="J22" s="19"/>
      <c r="K22" s="19"/>
      <c r="L22" s="19">
        <v>4</v>
      </c>
      <c r="M22" s="20">
        <f t="shared" si="1"/>
        <v>4</v>
      </c>
      <c r="N22" s="35"/>
      <c r="O22" s="36"/>
      <c r="P22" s="172">
        <f t="shared" si="0"/>
        <v>24724634.399999999</v>
      </c>
      <c r="Q22" s="29"/>
    </row>
    <row r="23" spans="1:19" ht="18.75" customHeight="1" x14ac:dyDescent="0.3">
      <c r="A23" s="13"/>
      <c r="B23" s="14"/>
      <c r="C23" s="15"/>
      <c r="D23" s="26"/>
      <c r="E23" s="47" t="s">
        <v>38</v>
      </c>
      <c r="F23" s="26">
        <f>2%*D21</f>
        <v>10.525599999999999</v>
      </c>
      <c r="G23" s="26">
        <f>15%*D21</f>
        <v>78.941999999999993</v>
      </c>
      <c r="H23" s="26">
        <f t="shared" si="4"/>
        <v>89.46759999999999</v>
      </c>
      <c r="I23" s="19">
        <v>0</v>
      </c>
      <c r="J23" s="19"/>
      <c r="K23" s="19"/>
      <c r="L23" s="19">
        <v>3</v>
      </c>
      <c r="M23" s="20">
        <f t="shared" si="1"/>
        <v>3</v>
      </c>
      <c r="N23" s="80"/>
      <c r="O23" s="81"/>
      <c r="P23" s="172">
        <f t="shared" si="0"/>
        <v>123623171.99999999</v>
      </c>
      <c r="Q23" s="88"/>
    </row>
    <row r="24" spans="1:19" ht="18.75" customHeight="1" x14ac:dyDescent="0.3">
      <c r="A24" s="89"/>
      <c r="B24" s="402" t="s">
        <v>325</v>
      </c>
      <c r="C24" s="403"/>
      <c r="D24" s="73">
        <f>SUM(D9:D17)</f>
        <v>1245.8800000000001</v>
      </c>
      <c r="E24" s="74"/>
      <c r="F24" s="118">
        <f>SUM(F9:F17)</f>
        <v>278.6062</v>
      </c>
      <c r="G24" s="118">
        <f>SUM(G9:G17)</f>
        <v>68.391000000000005</v>
      </c>
      <c r="H24" s="118">
        <f>SUM(H9:H17)</f>
        <v>346.99720000000002</v>
      </c>
      <c r="I24" s="75">
        <f>SUM(I9:I17)</f>
        <v>0</v>
      </c>
      <c r="J24" s="75">
        <f>SUM(J9:J17)</f>
        <v>0</v>
      </c>
      <c r="K24" s="75">
        <f>SUM(K8:K23)</f>
        <v>29</v>
      </c>
      <c r="L24" s="160">
        <f>SUM(L10:L23)</f>
        <v>44</v>
      </c>
      <c r="M24" s="75">
        <f>SUM(M9:M17)</f>
        <v>52</v>
      </c>
      <c r="N24" s="76"/>
      <c r="O24" s="77"/>
      <c r="P24" s="173">
        <f>SUM(P10:P23)</f>
        <v>322252106.39999998</v>
      </c>
      <c r="Q24" s="75"/>
    </row>
    <row r="25" spans="1:19" ht="18.75" customHeight="1" x14ac:dyDescent="0.3">
      <c r="A25" s="63">
        <v>2</v>
      </c>
      <c r="B25" s="64" t="s">
        <v>23</v>
      </c>
      <c r="C25" s="65"/>
      <c r="D25" s="66"/>
      <c r="E25" s="67"/>
      <c r="F25" s="68"/>
      <c r="G25" s="68"/>
      <c r="H25" s="68"/>
      <c r="I25" s="68"/>
      <c r="J25" s="68"/>
      <c r="K25" s="68"/>
      <c r="L25" s="68"/>
      <c r="M25" s="68"/>
      <c r="N25" s="69"/>
      <c r="O25" s="70"/>
      <c r="P25" s="70"/>
      <c r="Q25" s="68"/>
    </row>
    <row r="26" spans="1:19" ht="18.75" customHeight="1" x14ac:dyDescent="0.3">
      <c r="A26" s="13"/>
      <c r="B26" s="14" t="s">
        <v>57</v>
      </c>
      <c r="C26" s="15" t="s">
        <v>22</v>
      </c>
      <c r="D26" s="26">
        <v>202.18</v>
      </c>
      <c r="E26" s="47" t="s">
        <v>40</v>
      </c>
      <c r="F26" s="19">
        <v>0</v>
      </c>
      <c r="G26" s="19">
        <f>1%*D26</f>
        <v>2.0218000000000003</v>
      </c>
      <c r="H26" s="19">
        <f t="shared" ref="H26" si="5">SUM(F26:G26)</f>
        <v>2.0218000000000003</v>
      </c>
      <c r="I26" s="19">
        <v>0</v>
      </c>
      <c r="J26" s="19">
        <v>0</v>
      </c>
      <c r="K26" s="19">
        <v>0</v>
      </c>
      <c r="L26" s="19">
        <v>2</v>
      </c>
      <c r="M26" s="20">
        <f t="shared" ref="M26:M30" si="6">SUM(I26:L26)</f>
        <v>2</v>
      </c>
      <c r="N26" s="37" t="s">
        <v>51</v>
      </c>
      <c r="O26" s="404" t="s">
        <v>279</v>
      </c>
      <c r="P26" s="175">
        <f>G26*0.52*20%*50000000</f>
        <v>10513360.000000004</v>
      </c>
      <c r="Q26" s="16"/>
    </row>
    <row r="27" spans="1:19" ht="18.75" customHeight="1" x14ac:dyDescent="0.3">
      <c r="A27" s="54"/>
      <c r="B27" s="55"/>
      <c r="C27" s="56"/>
      <c r="D27" s="57"/>
      <c r="E27" s="85" t="s">
        <v>251</v>
      </c>
      <c r="F27" s="79"/>
      <c r="G27" s="79">
        <f>1.5%*D26</f>
        <v>3.0327000000000002</v>
      </c>
      <c r="H27" s="79"/>
      <c r="I27" s="19">
        <v>0</v>
      </c>
      <c r="J27" s="19">
        <v>0</v>
      </c>
      <c r="K27" s="19">
        <v>0</v>
      </c>
      <c r="L27" s="19">
        <v>0</v>
      </c>
      <c r="M27" s="20">
        <f t="shared" si="6"/>
        <v>0</v>
      </c>
      <c r="N27" s="37"/>
      <c r="O27" s="404"/>
      <c r="P27" s="175">
        <f>G27*0.52*15%*50000000</f>
        <v>11827530</v>
      </c>
      <c r="Q27" s="16"/>
    </row>
    <row r="28" spans="1:19" ht="18.75" customHeight="1" x14ac:dyDescent="0.3">
      <c r="A28" s="54"/>
      <c r="B28" s="55" t="s">
        <v>58</v>
      </c>
      <c r="C28" s="56" t="s">
        <v>42</v>
      </c>
      <c r="D28" s="57">
        <v>55</v>
      </c>
      <c r="E28" s="47" t="s">
        <v>40</v>
      </c>
      <c r="F28" s="19">
        <v>0</v>
      </c>
      <c r="G28" s="19">
        <f>8%*D28</f>
        <v>4.4000000000000004</v>
      </c>
      <c r="H28" s="19">
        <f t="shared" ref="H28" si="7">SUM(F28:G28)</f>
        <v>4.4000000000000004</v>
      </c>
      <c r="I28" s="19">
        <v>0</v>
      </c>
      <c r="J28" s="19"/>
      <c r="K28" s="19">
        <v>0</v>
      </c>
      <c r="L28" s="19">
        <v>0</v>
      </c>
      <c r="M28" s="20">
        <f t="shared" si="6"/>
        <v>0</v>
      </c>
      <c r="N28" s="37"/>
      <c r="O28" s="404"/>
      <c r="P28" s="175">
        <f>G28*0.52*20%*50000000</f>
        <v>22880000.000000004</v>
      </c>
      <c r="Q28" s="16"/>
      <c r="R28" s="1" t="s">
        <v>333</v>
      </c>
      <c r="S28" s="1" t="s">
        <v>334</v>
      </c>
    </row>
    <row r="29" spans="1:19" ht="18.75" customHeight="1" x14ac:dyDescent="0.3">
      <c r="A29" s="54"/>
      <c r="B29" s="55"/>
      <c r="C29" s="56"/>
      <c r="D29" s="57"/>
      <c r="E29" s="85" t="s">
        <v>250</v>
      </c>
      <c r="F29" s="79"/>
      <c r="G29" s="79">
        <f>1.2%*D28</f>
        <v>0.66</v>
      </c>
      <c r="H29" s="79"/>
      <c r="I29" s="19">
        <v>0</v>
      </c>
      <c r="J29" s="19"/>
      <c r="K29" s="19"/>
      <c r="L29" s="19">
        <v>1</v>
      </c>
      <c r="M29" s="20">
        <f t="shared" si="6"/>
        <v>1</v>
      </c>
      <c r="N29" s="37"/>
      <c r="O29" s="404"/>
      <c r="P29" s="175">
        <f>G29*0.52*15%*50000000</f>
        <v>2574000</v>
      </c>
      <c r="Q29" s="16"/>
    </row>
    <row r="30" spans="1:19" ht="18.75" customHeight="1" x14ac:dyDescent="0.3">
      <c r="A30" s="54"/>
      <c r="B30" s="55" t="s">
        <v>59</v>
      </c>
      <c r="C30" s="56" t="s">
        <v>21</v>
      </c>
      <c r="D30" s="57">
        <v>66.94</v>
      </c>
      <c r="E30" s="47" t="s">
        <v>40</v>
      </c>
      <c r="F30" s="19">
        <v>0</v>
      </c>
      <c r="G30" s="19">
        <f>7%*D30</f>
        <v>4.6858000000000004</v>
      </c>
      <c r="H30" s="19">
        <f t="shared" ref="H30" si="8">SUM(F30:G30)</f>
        <v>4.6858000000000004</v>
      </c>
      <c r="I30" s="19">
        <v>0</v>
      </c>
      <c r="J30" s="19">
        <v>0</v>
      </c>
      <c r="K30" s="19">
        <v>0</v>
      </c>
      <c r="L30" s="19">
        <v>2</v>
      </c>
      <c r="M30" s="20">
        <f t="shared" si="6"/>
        <v>2</v>
      </c>
      <c r="N30" s="95"/>
      <c r="O30" s="399"/>
      <c r="P30" s="175">
        <f>G30*0.52*20%*50000000</f>
        <v>24366160.000000004</v>
      </c>
      <c r="Q30" s="87"/>
    </row>
    <row r="31" spans="1:19" ht="18.75" customHeight="1" x14ac:dyDescent="0.3">
      <c r="A31" s="89"/>
      <c r="B31" s="402" t="s">
        <v>326</v>
      </c>
      <c r="C31" s="403"/>
      <c r="D31" s="73">
        <f>SUM(D25:D30)</f>
        <v>324.12</v>
      </c>
      <c r="E31" s="74"/>
      <c r="F31" s="83">
        <f t="shared" ref="F31:K31" si="9">SUM(F25:F30)</f>
        <v>0</v>
      </c>
      <c r="G31" s="83">
        <f t="shared" si="9"/>
        <v>14.800300000000002</v>
      </c>
      <c r="H31" s="83">
        <f t="shared" si="9"/>
        <v>11.107600000000001</v>
      </c>
      <c r="I31" s="83">
        <f t="shared" si="9"/>
        <v>0</v>
      </c>
      <c r="J31" s="83">
        <f t="shared" si="9"/>
        <v>0</v>
      </c>
      <c r="K31" s="83">
        <f t="shared" si="9"/>
        <v>0</v>
      </c>
      <c r="L31" s="83">
        <f>SUM(L26:L30)</f>
        <v>5</v>
      </c>
      <c r="M31" s="83">
        <f>SUM(M25:M30)</f>
        <v>5</v>
      </c>
      <c r="N31" s="76"/>
      <c r="O31" s="77"/>
      <c r="P31" s="77"/>
      <c r="Q31" s="75"/>
    </row>
    <row r="32" spans="1:19" ht="18.75" customHeight="1" x14ac:dyDescent="0.3">
      <c r="A32" s="63">
        <v>3</v>
      </c>
      <c r="B32" s="64" t="s">
        <v>19</v>
      </c>
      <c r="C32" s="65"/>
      <c r="D32" s="66"/>
      <c r="E32" s="67"/>
      <c r="F32" s="82"/>
      <c r="G32" s="82"/>
      <c r="H32" s="82"/>
      <c r="I32" s="82"/>
      <c r="J32" s="82"/>
      <c r="K32" s="82"/>
      <c r="L32" s="82"/>
      <c r="M32" s="82"/>
      <c r="N32" s="69"/>
      <c r="O32" s="70"/>
      <c r="P32" s="70"/>
      <c r="Q32" s="68"/>
    </row>
    <row r="33" spans="1:17" ht="15.75" customHeight="1" x14ac:dyDescent="0.3">
      <c r="A33" s="13"/>
      <c r="B33" s="14" t="s">
        <v>57</v>
      </c>
      <c r="C33" s="15" t="s">
        <v>24</v>
      </c>
      <c r="D33" s="26">
        <f>1372.4+494</f>
        <v>1866.4</v>
      </c>
      <c r="E33" s="50" t="s">
        <v>52</v>
      </c>
      <c r="F33" s="19">
        <f t="shared" ref="F33:F38" si="10">5%*D33</f>
        <v>93.320000000000007</v>
      </c>
      <c r="G33" s="26">
        <f>50%*D33</f>
        <v>933.2</v>
      </c>
      <c r="H33" s="26">
        <f>SUM(F33:G33)</f>
        <v>1026.52</v>
      </c>
      <c r="I33" s="19">
        <v>0</v>
      </c>
      <c r="J33" s="19"/>
      <c r="K33" s="19">
        <v>10</v>
      </c>
      <c r="L33" s="19">
        <v>2</v>
      </c>
      <c r="M33" s="19">
        <f>SUM(I33:L33)</f>
        <v>12</v>
      </c>
      <c r="N33" s="35" t="s">
        <v>262</v>
      </c>
      <c r="O33" s="36"/>
      <c r="P33" s="161">
        <f t="shared" ref="P33:P62" si="11">G33*0.815*26%*4000000</f>
        <v>790980320</v>
      </c>
      <c r="Q33" s="16"/>
    </row>
    <row r="34" spans="1:17" ht="15" customHeight="1" x14ac:dyDescent="0.3">
      <c r="A34" s="13"/>
      <c r="B34" s="14"/>
      <c r="C34" s="15"/>
      <c r="D34" s="26"/>
      <c r="E34" s="47" t="s">
        <v>624</v>
      </c>
      <c r="F34" s="19">
        <f t="shared" si="10"/>
        <v>0</v>
      </c>
      <c r="G34" s="26">
        <f>15%*D33</f>
        <v>279.95999999999998</v>
      </c>
      <c r="H34" s="26">
        <f>F34+G34</f>
        <v>279.95999999999998</v>
      </c>
      <c r="I34" s="19">
        <v>0</v>
      </c>
      <c r="J34" s="19"/>
      <c r="K34" s="19">
        <v>0</v>
      </c>
      <c r="L34" s="19">
        <v>4</v>
      </c>
      <c r="M34" s="19">
        <f>SUM(I34:L34)</f>
        <v>4</v>
      </c>
      <c r="N34" s="35" t="s">
        <v>263</v>
      </c>
      <c r="O34" s="36"/>
      <c r="P34" s="161">
        <f t="shared" si="11"/>
        <v>237294095.99999997</v>
      </c>
      <c r="Q34" s="16"/>
    </row>
    <row r="35" spans="1:17" ht="18.75" customHeight="1" x14ac:dyDescent="0.3">
      <c r="A35" s="13"/>
      <c r="B35" s="14" t="s">
        <v>58</v>
      </c>
      <c r="C35" s="15" t="s">
        <v>25</v>
      </c>
      <c r="D35" s="26">
        <f>994.7+363.2</f>
        <v>1357.9</v>
      </c>
      <c r="E35" s="50" t="s">
        <v>52</v>
      </c>
      <c r="F35" s="19">
        <f t="shared" si="10"/>
        <v>67.89500000000001</v>
      </c>
      <c r="G35" s="26">
        <f>10%*D35</f>
        <v>135.79000000000002</v>
      </c>
      <c r="H35" s="26">
        <f t="shared" ref="H35:H62" si="12">SUM(F35:G35)</f>
        <v>203.68500000000003</v>
      </c>
      <c r="I35" s="19">
        <v>0</v>
      </c>
      <c r="J35" s="19"/>
      <c r="K35" s="19">
        <v>0</v>
      </c>
      <c r="L35" s="19">
        <v>0</v>
      </c>
      <c r="M35" s="19">
        <f t="shared" ref="M35:M62" si="13">SUM(I35:L35)</f>
        <v>0</v>
      </c>
      <c r="N35" s="35" t="s">
        <v>264</v>
      </c>
      <c r="O35" s="36"/>
      <c r="P35" s="161">
        <f t="shared" si="11"/>
        <v>115095604.00000001</v>
      </c>
      <c r="Q35" s="16"/>
    </row>
    <row r="36" spans="1:17" ht="17.25" customHeight="1" x14ac:dyDescent="0.3">
      <c r="A36" s="13"/>
      <c r="B36" s="14" t="s">
        <v>59</v>
      </c>
      <c r="C36" s="15" t="s">
        <v>26</v>
      </c>
      <c r="D36" s="26">
        <f>976.5+338</f>
        <v>1314.5</v>
      </c>
      <c r="E36" s="50" t="s">
        <v>52</v>
      </c>
      <c r="F36" s="19">
        <f t="shared" si="10"/>
        <v>65.725000000000009</v>
      </c>
      <c r="G36" s="26">
        <f>18%*D36</f>
        <v>236.60999999999999</v>
      </c>
      <c r="H36" s="26">
        <f t="shared" si="12"/>
        <v>302.33499999999998</v>
      </c>
      <c r="I36" s="19"/>
      <c r="J36" s="19"/>
      <c r="K36" s="19">
        <v>10</v>
      </c>
      <c r="L36" s="19">
        <v>5</v>
      </c>
      <c r="M36" s="19">
        <f t="shared" si="13"/>
        <v>15</v>
      </c>
      <c r="N36" s="35"/>
      <c r="O36" s="36"/>
      <c r="P36" s="161">
        <f t="shared" si="11"/>
        <v>200550636</v>
      </c>
      <c r="Q36" s="16"/>
    </row>
    <row r="37" spans="1:17" ht="17.25" customHeight="1" x14ac:dyDescent="0.3">
      <c r="A37" s="13"/>
      <c r="B37" s="14"/>
      <c r="C37" s="15"/>
      <c r="D37" s="26"/>
      <c r="E37" s="47" t="s">
        <v>624</v>
      </c>
      <c r="F37" s="19">
        <f t="shared" si="10"/>
        <v>0</v>
      </c>
      <c r="G37" s="26">
        <f>15%*D36</f>
        <v>197.17499999999998</v>
      </c>
      <c r="H37" s="26">
        <f>F37+G37</f>
        <v>197.17499999999998</v>
      </c>
      <c r="I37" s="19">
        <v>0</v>
      </c>
      <c r="J37" s="19"/>
      <c r="K37" s="19">
        <v>5</v>
      </c>
      <c r="L37" s="19">
        <v>4</v>
      </c>
      <c r="M37" s="19">
        <f>SUM(I37:L37)</f>
        <v>9</v>
      </c>
      <c r="N37" s="35"/>
      <c r="O37" s="36"/>
      <c r="P37" s="161">
        <f t="shared" ref="P37" si="14">G37*0.815*26%*4000000</f>
        <v>167125530</v>
      </c>
      <c r="Q37" s="16"/>
    </row>
    <row r="38" spans="1:17" ht="15" customHeight="1" x14ac:dyDescent="0.3">
      <c r="A38" s="13"/>
      <c r="B38" s="14" t="s">
        <v>60</v>
      </c>
      <c r="C38" s="15" t="s">
        <v>55</v>
      </c>
      <c r="D38" s="26">
        <f>291.6+46.93</f>
        <v>338.53000000000003</v>
      </c>
      <c r="E38" s="50" t="s">
        <v>52</v>
      </c>
      <c r="F38" s="19">
        <f t="shared" si="10"/>
        <v>16.926500000000001</v>
      </c>
      <c r="G38" s="26">
        <f>17%*D38</f>
        <v>57.550100000000008</v>
      </c>
      <c r="H38" s="26">
        <f t="shared" si="12"/>
        <v>74.476600000000005</v>
      </c>
      <c r="I38" s="19">
        <v>0</v>
      </c>
      <c r="J38" s="19">
        <v>0</v>
      </c>
      <c r="K38" s="19">
        <v>0</v>
      </c>
      <c r="L38" s="19">
        <v>0</v>
      </c>
      <c r="M38" s="19">
        <f t="shared" si="13"/>
        <v>0</v>
      </c>
      <c r="N38" s="35"/>
      <c r="O38" s="36"/>
      <c r="P38" s="161">
        <f t="shared" si="11"/>
        <v>48779464.760000005</v>
      </c>
      <c r="Q38" s="16"/>
    </row>
    <row r="39" spans="1:17" ht="18.75" customHeight="1" x14ac:dyDescent="0.3">
      <c r="A39" s="13"/>
      <c r="B39" s="14"/>
      <c r="C39" s="15"/>
      <c r="D39" s="26"/>
      <c r="E39" s="47" t="s">
        <v>235</v>
      </c>
      <c r="F39" s="26">
        <f>4%*D38</f>
        <v>13.541200000000002</v>
      </c>
      <c r="G39" s="26">
        <f>15%*D38</f>
        <v>50.779500000000006</v>
      </c>
      <c r="H39" s="26">
        <f>SUM(F39:G39)</f>
        <v>64.320700000000002</v>
      </c>
      <c r="I39" s="19"/>
      <c r="J39" s="19"/>
      <c r="K39" s="19"/>
      <c r="L39" s="19">
        <v>5</v>
      </c>
      <c r="M39" s="19">
        <f>SUM(I39:L39)</f>
        <v>5</v>
      </c>
      <c r="N39" s="35"/>
      <c r="O39" s="36"/>
      <c r="P39" s="161">
        <f t="shared" si="11"/>
        <v>43040704.20000001</v>
      </c>
      <c r="Q39" s="16"/>
    </row>
    <row r="40" spans="1:17" ht="14.25" customHeight="1" x14ac:dyDescent="0.3">
      <c r="A40" s="13"/>
      <c r="B40" s="14" t="s">
        <v>61</v>
      </c>
      <c r="C40" s="15" t="s">
        <v>27</v>
      </c>
      <c r="D40" s="26">
        <f>831.5+161.25</f>
        <v>992.75</v>
      </c>
      <c r="E40" s="50" t="s">
        <v>52</v>
      </c>
      <c r="F40" s="19">
        <v>0</v>
      </c>
      <c r="G40" s="26">
        <f>33%*D40</f>
        <v>327.60750000000002</v>
      </c>
      <c r="H40" s="26">
        <f t="shared" si="12"/>
        <v>327.60750000000002</v>
      </c>
      <c r="I40" s="19">
        <v>0</v>
      </c>
      <c r="J40" s="19">
        <v>0</v>
      </c>
      <c r="K40" s="19">
        <v>0</v>
      </c>
      <c r="L40" s="19">
        <v>7</v>
      </c>
      <c r="M40" s="19">
        <f t="shared" si="13"/>
        <v>7</v>
      </c>
      <c r="N40" s="35"/>
      <c r="O40" s="36"/>
      <c r="P40" s="161">
        <f t="shared" si="11"/>
        <v>277680117</v>
      </c>
      <c r="Q40" s="16"/>
    </row>
    <row r="41" spans="1:17" ht="15" customHeight="1" x14ac:dyDescent="0.3">
      <c r="A41" s="13"/>
      <c r="B41" s="14" t="s">
        <v>62</v>
      </c>
      <c r="C41" s="15" t="s">
        <v>28</v>
      </c>
      <c r="D41" s="26">
        <f>868+618.6</f>
        <v>1486.6</v>
      </c>
      <c r="E41" s="50" t="s">
        <v>52</v>
      </c>
      <c r="F41" s="19">
        <v>0</v>
      </c>
      <c r="G41" s="26">
        <f>15%*D41</f>
        <v>222.98999999999998</v>
      </c>
      <c r="H41" s="26">
        <f t="shared" si="12"/>
        <v>222.98999999999998</v>
      </c>
      <c r="I41" s="19">
        <v>0</v>
      </c>
      <c r="J41" s="19">
        <v>0</v>
      </c>
      <c r="K41" s="19">
        <v>5</v>
      </c>
      <c r="L41" s="19">
        <v>5</v>
      </c>
      <c r="M41" s="19">
        <f t="shared" si="13"/>
        <v>10</v>
      </c>
      <c r="N41" s="35"/>
      <c r="O41" s="36"/>
      <c r="P41" s="161">
        <f t="shared" si="11"/>
        <v>189006323.99999997</v>
      </c>
      <c r="Q41" s="16"/>
    </row>
    <row r="42" spans="1:17" ht="15" customHeight="1" x14ac:dyDescent="0.3">
      <c r="A42" s="13"/>
      <c r="B42" s="14" t="s">
        <v>63</v>
      </c>
      <c r="C42" s="15" t="s">
        <v>29</v>
      </c>
      <c r="D42" s="26">
        <f>1546+278.5</f>
        <v>1824.5</v>
      </c>
      <c r="E42" s="50" t="s">
        <v>52</v>
      </c>
      <c r="F42" s="19">
        <v>0</v>
      </c>
      <c r="G42" s="26">
        <f>20%*D42</f>
        <v>364.90000000000003</v>
      </c>
      <c r="H42" s="26">
        <f t="shared" si="12"/>
        <v>364.90000000000003</v>
      </c>
      <c r="I42" s="19">
        <v>0</v>
      </c>
      <c r="J42" s="19">
        <v>0</v>
      </c>
      <c r="K42" s="19">
        <v>10</v>
      </c>
      <c r="L42" s="19">
        <v>5</v>
      </c>
      <c r="M42" s="19">
        <f t="shared" si="13"/>
        <v>15</v>
      </c>
      <c r="N42" s="35"/>
      <c r="O42" s="36"/>
      <c r="P42" s="161">
        <f t="shared" si="11"/>
        <v>309289240</v>
      </c>
      <c r="Q42" s="16"/>
    </row>
    <row r="43" spans="1:17" ht="15" customHeight="1" x14ac:dyDescent="0.3">
      <c r="A43" s="13"/>
      <c r="B43" s="14"/>
      <c r="C43" s="15"/>
      <c r="D43" s="26"/>
      <c r="E43" s="47" t="s">
        <v>234</v>
      </c>
      <c r="F43" s="26"/>
      <c r="G43" s="26">
        <f>12%*D41</f>
        <v>178.392</v>
      </c>
      <c r="H43" s="26">
        <f>F43+G43</f>
        <v>178.392</v>
      </c>
      <c r="I43" s="19"/>
      <c r="J43" s="19">
        <v>0</v>
      </c>
      <c r="K43" s="19">
        <v>0</v>
      </c>
      <c r="L43" s="19">
        <v>0</v>
      </c>
      <c r="M43" s="19">
        <f t="shared" ref="M43" si="15">SUM(I43:L43)</f>
        <v>0</v>
      </c>
      <c r="N43" s="35"/>
      <c r="O43" s="36"/>
      <c r="P43" s="161">
        <f t="shared" ref="P43" si="16">G43*0.815*26%*4000000</f>
        <v>151205059.19999999</v>
      </c>
      <c r="Q43" s="16"/>
    </row>
    <row r="44" spans="1:17" ht="14.25" customHeight="1" x14ac:dyDescent="0.3">
      <c r="A44" s="13"/>
      <c r="B44" s="14" t="s">
        <v>64</v>
      </c>
      <c r="C44" s="15" t="s">
        <v>56</v>
      </c>
      <c r="D44" s="26">
        <f>156.4+34.9</f>
        <v>191.3</v>
      </c>
      <c r="E44" s="50" t="s">
        <v>52</v>
      </c>
      <c r="F44" s="19">
        <v>0</v>
      </c>
      <c r="G44" s="26">
        <f>13%*D44</f>
        <v>24.869000000000003</v>
      </c>
      <c r="H44" s="26">
        <f t="shared" si="12"/>
        <v>24.869000000000003</v>
      </c>
      <c r="I44" s="19">
        <v>0</v>
      </c>
      <c r="J44" s="19"/>
      <c r="K44" s="19"/>
      <c r="L44" s="19">
        <v>0</v>
      </c>
      <c r="M44" s="19">
        <f t="shared" si="13"/>
        <v>0</v>
      </c>
      <c r="N44" s="35"/>
      <c r="O44" s="36"/>
      <c r="P44" s="161">
        <f t="shared" si="11"/>
        <v>21078964.399999999</v>
      </c>
      <c r="Q44" s="16"/>
    </row>
    <row r="45" spans="1:17" ht="15" customHeight="1" x14ac:dyDescent="0.3">
      <c r="A45" s="13"/>
      <c r="B45" s="14" t="s">
        <v>65</v>
      </c>
      <c r="C45" s="15" t="s">
        <v>30</v>
      </c>
      <c r="D45" s="26">
        <f>1499.7+565.1</f>
        <v>2064.8000000000002</v>
      </c>
      <c r="E45" s="50" t="s">
        <v>52</v>
      </c>
      <c r="F45" s="19">
        <v>0</v>
      </c>
      <c r="G45" s="26">
        <f>12%*D45</f>
        <v>247.77600000000001</v>
      </c>
      <c r="H45" s="26">
        <f t="shared" si="12"/>
        <v>247.77600000000001</v>
      </c>
      <c r="I45" s="19">
        <v>0</v>
      </c>
      <c r="J45" s="19">
        <v>0</v>
      </c>
      <c r="K45" s="19">
        <v>0</v>
      </c>
      <c r="L45" s="19">
        <v>0</v>
      </c>
      <c r="M45" s="19">
        <f t="shared" si="13"/>
        <v>0</v>
      </c>
      <c r="N45" s="35"/>
      <c r="O45" s="36"/>
      <c r="P45" s="161">
        <f t="shared" si="11"/>
        <v>210014937.60000002</v>
      </c>
      <c r="Q45" s="16"/>
    </row>
    <row r="46" spans="1:17" ht="14.25" customHeight="1" x14ac:dyDescent="0.3">
      <c r="A46" s="13"/>
      <c r="B46" s="14" t="s">
        <v>66</v>
      </c>
      <c r="C46" s="15" t="s">
        <v>31</v>
      </c>
      <c r="D46" s="26">
        <f>1207+389</f>
        <v>1596</v>
      </c>
      <c r="E46" s="50" t="s">
        <v>52</v>
      </c>
      <c r="F46" s="19">
        <v>0</v>
      </c>
      <c r="G46" s="26">
        <f>11%*D46</f>
        <v>175.56</v>
      </c>
      <c r="H46" s="26">
        <f t="shared" si="12"/>
        <v>175.56</v>
      </c>
      <c r="I46" s="19">
        <v>0</v>
      </c>
      <c r="J46" s="19">
        <v>0</v>
      </c>
      <c r="K46" s="19">
        <v>0</v>
      </c>
      <c r="L46" s="19">
        <v>0</v>
      </c>
      <c r="M46" s="19">
        <f t="shared" si="13"/>
        <v>0</v>
      </c>
      <c r="N46" s="35"/>
      <c r="O46" s="36"/>
      <c r="P46" s="161">
        <f t="shared" si="11"/>
        <v>148804656</v>
      </c>
      <c r="Q46" s="16"/>
    </row>
    <row r="47" spans="1:17" ht="13.5" customHeight="1" x14ac:dyDescent="0.3">
      <c r="A47" s="13"/>
      <c r="B47" s="14" t="s">
        <v>67</v>
      </c>
      <c r="C47" s="15" t="s">
        <v>32</v>
      </c>
      <c r="D47" s="26">
        <f>998.9+79.5</f>
        <v>1078.4000000000001</v>
      </c>
      <c r="E47" s="50" t="s">
        <v>52</v>
      </c>
      <c r="F47" s="19">
        <v>0</v>
      </c>
      <c r="G47" s="26">
        <f>15%*D47</f>
        <v>161.76000000000002</v>
      </c>
      <c r="H47" s="26">
        <f t="shared" si="12"/>
        <v>161.76000000000002</v>
      </c>
      <c r="I47" s="19">
        <v>0</v>
      </c>
      <c r="J47" s="19">
        <v>0</v>
      </c>
      <c r="K47" s="19">
        <v>0</v>
      </c>
      <c r="L47" s="19">
        <v>0</v>
      </c>
      <c r="M47" s="19">
        <f t="shared" si="13"/>
        <v>0</v>
      </c>
      <c r="N47" s="35"/>
      <c r="O47" s="36"/>
      <c r="P47" s="161">
        <f t="shared" si="11"/>
        <v>137107776.00000003</v>
      </c>
      <c r="Q47" s="16"/>
    </row>
    <row r="48" spans="1:17" ht="15.75" customHeight="1" x14ac:dyDescent="0.3">
      <c r="A48" s="13"/>
      <c r="B48" s="14" t="s">
        <v>68</v>
      </c>
      <c r="C48" s="15" t="s">
        <v>33</v>
      </c>
      <c r="D48" s="26">
        <f>1304+57.5</f>
        <v>1361.5</v>
      </c>
      <c r="E48" s="50" t="s">
        <v>52</v>
      </c>
      <c r="F48" s="19">
        <v>0</v>
      </c>
      <c r="G48" s="26">
        <f>11%*D48</f>
        <v>149.76500000000001</v>
      </c>
      <c r="H48" s="26">
        <f t="shared" si="12"/>
        <v>149.76500000000001</v>
      </c>
      <c r="I48" s="19">
        <v>0</v>
      </c>
      <c r="J48" s="19"/>
      <c r="K48" s="19">
        <v>0</v>
      </c>
      <c r="L48" s="19">
        <v>0</v>
      </c>
      <c r="M48" s="19">
        <f t="shared" si="13"/>
        <v>0</v>
      </c>
      <c r="N48" s="35"/>
      <c r="O48" s="36"/>
      <c r="P48" s="161">
        <f t="shared" si="11"/>
        <v>126940814</v>
      </c>
      <c r="Q48" s="16"/>
    </row>
    <row r="49" spans="1:17" ht="14.25" customHeight="1" x14ac:dyDescent="0.3">
      <c r="A49" s="13"/>
      <c r="B49" s="14" t="s">
        <v>69</v>
      </c>
      <c r="C49" s="15" t="s">
        <v>34</v>
      </c>
      <c r="D49" s="26">
        <f>1784.1+362</f>
        <v>2146.1</v>
      </c>
      <c r="E49" s="50" t="s">
        <v>52</v>
      </c>
      <c r="F49" s="19">
        <v>0</v>
      </c>
      <c r="G49" s="26">
        <f>21%*D49</f>
        <v>450.68099999999998</v>
      </c>
      <c r="H49" s="26">
        <f t="shared" si="12"/>
        <v>450.68099999999998</v>
      </c>
      <c r="I49" s="19">
        <v>0</v>
      </c>
      <c r="J49" s="19"/>
      <c r="K49" s="19"/>
      <c r="L49" s="19">
        <v>6</v>
      </c>
      <c r="M49" s="19">
        <f t="shared" si="13"/>
        <v>6</v>
      </c>
      <c r="N49" s="35"/>
      <c r="O49" s="36"/>
      <c r="P49" s="161">
        <f t="shared" si="11"/>
        <v>381997215.60000002</v>
      </c>
      <c r="Q49" s="16"/>
    </row>
    <row r="50" spans="1:17" ht="13.5" customHeight="1" x14ac:dyDescent="0.3">
      <c r="A50" s="13"/>
      <c r="B50" s="14" t="s">
        <v>70</v>
      </c>
      <c r="C50" s="15" t="s">
        <v>35</v>
      </c>
      <c r="D50" s="26">
        <f>1557+181.5</f>
        <v>1738.5</v>
      </c>
      <c r="E50" s="50" t="s">
        <v>52</v>
      </c>
      <c r="F50" s="19">
        <v>0</v>
      </c>
      <c r="G50" s="26">
        <f>12%*D50</f>
        <v>208.62</v>
      </c>
      <c r="H50" s="26">
        <f t="shared" si="12"/>
        <v>208.62</v>
      </c>
      <c r="I50" s="19">
        <v>0</v>
      </c>
      <c r="J50" s="19">
        <v>0</v>
      </c>
      <c r="K50" s="19">
        <v>0</v>
      </c>
      <c r="L50" s="19">
        <v>0</v>
      </c>
      <c r="M50" s="19">
        <f t="shared" si="13"/>
        <v>0</v>
      </c>
      <c r="N50" s="35"/>
      <c r="O50" s="36"/>
      <c r="P50" s="161">
        <f t="shared" si="11"/>
        <v>176826312</v>
      </c>
      <c r="Q50" s="16"/>
    </row>
    <row r="51" spans="1:17" ht="18.75" customHeight="1" x14ac:dyDescent="0.3">
      <c r="A51" s="13"/>
      <c r="B51" s="14" t="s">
        <v>71</v>
      </c>
      <c r="C51" s="15" t="s">
        <v>21</v>
      </c>
      <c r="D51" s="26">
        <f>1940+114</f>
        <v>2054</v>
      </c>
      <c r="E51" s="50" t="s">
        <v>52</v>
      </c>
      <c r="F51" s="19">
        <v>0</v>
      </c>
      <c r="G51" s="26">
        <f>15%*D51</f>
        <v>308.09999999999997</v>
      </c>
      <c r="H51" s="26">
        <f t="shared" si="12"/>
        <v>308.09999999999997</v>
      </c>
      <c r="I51" s="19">
        <v>0</v>
      </c>
      <c r="J51" s="19">
        <v>0</v>
      </c>
      <c r="K51" s="19">
        <v>0</v>
      </c>
      <c r="L51" s="19">
        <v>0</v>
      </c>
      <c r="M51" s="19">
        <f t="shared" si="13"/>
        <v>0</v>
      </c>
      <c r="N51" s="35"/>
      <c r="O51" s="36"/>
      <c r="P51" s="161">
        <f t="shared" si="11"/>
        <v>261145560</v>
      </c>
      <c r="Q51" s="16"/>
    </row>
    <row r="52" spans="1:17" ht="14.25" customHeight="1" x14ac:dyDescent="0.3">
      <c r="A52" s="13"/>
      <c r="B52" s="14" t="s">
        <v>72</v>
      </c>
      <c r="C52" s="15" t="s">
        <v>42</v>
      </c>
      <c r="D52" s="26">
        <f>773.1+303.8</f>
        <v>1076.9000000000001</v>
      </c>
      <c r="E52" s="50" t="s">
        <v>52</v>
      </c>
      <c r="F52" s="19">
        <v>0</v>
      </c>
      <c r="G52" s="26">
        <f>15%*D52</f>
        <v>161.535</v>
      </c>
      <c r="H52" s="26">
        <f t="shared" si="12"/>
        <v>161.535</v>
      </c>
      <c r="I52" s="19">
        <v>0</v>
      </c>
      <c r="J52" s="19">
        <v>0</v>
      </c>
      <c r="K52" s="19">
        <v>0</v>
      </c>
      <c r="L52" s="19">
        <v>4</v>
      </c>
      <c r="M52" s="19">
        <f t="shared" si="13"/>
        <v>4</v>
      </c>
      <c r="N52" s="35"/>
      <c r="O52" s="36"/>
      <c r="P52" s="161">
        <f t="shared" si="11"/>
        <v>136917065.99999997</v>
      </c>
      <c r="Q52" s="16"/>
    </row>
    <row r="53" spans="1:17" ht="18" customHeight="1" x14ac:dyDescent="0.3">
      <c r="A53" s="13"/>
      <c r="B53" s="14" t="s">
        <v>73</v>
      </c>
      <c r="C53" s="15" t="s">
        <v>105</v>
      </c>
      <c r="D53" s="26">
        <f>153.8+8.7</f>
        <v>162.5</v>
      </c>
      <c r="E53" s="50" t="s">
        <v>52</v>
      </c>
      <c r="F53" s="19">
        <v>0</v>
      </c>
      <c r="G53" s="26">
        <f>10%*D53</f>
        <v>16.25</v>
      </c>
      <c r="H53" s="26">
        <f t="shared" si="12"/>
        <v>16.25</v>
      </c>
      <c r="I53" s="19">
        <v>0</v>
      </c>
      <c r="J53" s="19">
        <v>0</v>
      </c>
      <c r="K53" s="19">
        <v>0</v>
      </c>
      <c r="L53" s="19">
        <v>4</v>
      </c>
      <c r="M53" s="19">
        <f t="shared" si="13"/>
        <v>4</v>
      </c>
      <c r="N53" s="35"/>
      <c r="O53" s="36"/>
      <c r="P53" s="161">
        <f t="shared" si="11"/>
        <v>13773499.999999998</v>
      </c>
      <c r="Q53" s="16"/>
    </row>
    <row r="54" spans="1:17" ht="16.5" customHeight="1" x14ac:dyDescent="0.3">
      <c r="A54" s="13"/>
      <c r="B54" s="14" t="s">
        <v>74</v>
      </c>
      <c r="C54" s="15" t="s">
        <v>110</v>
      </c>
      <c r="D54" s="26">
        <f>695+48.2</f>
        <v>743.2</v>
      </c>
      <c r="E54" s="50" t="s">
        <v>52</v>
      </c>
      <c r="F54" s="19">
        <v>0</v>
      </c>
      <c r="G54" s="26">
        <f>11%*D54</f>
        <v>81.75200000000001</v>
      </c>
      <c r="H54" s="26">
        <f t="shared" si="12"/>
        <v>81.75200000000001</v>
      </c>
      <c r="I54" s="19">
        <v>0</v>
      </c>
      <c r="J54" s="19">
        <v>0</v>
      </c>
      <c r="K54" s="19">
        <v>0</v>
      </c>
      <c r="L54" s="19">
        <v>0</v>
      </c>
      <c r="M54" s="19">
        <f t="shared" si="13"/>
        <v>0</v>
      </c>
      <c r="N54" s="35"/>
      <c r="O54" s="36"/>
      <c r="P54" s="161">
        <f t="shared" si="11"/>
        <v>69292995.200000003</v>
      </c>
      <c r="Q54" s="16"/>
    </row>
    <row r="55" spans="1:17" ht="15.75" customHeight="1" x14ac:dyDescent="0.3">
      <c r="A55" s="13"/>
      <c r="B55" s="14" t="s">
        <v>75</v>
      </c>
      <c r="C55" s="15" t="s">
        <v>112</v>
      </c>
      <c r="D55" s="26">
        <f>375+14</f>
        <v>389</v>
      </c>
      <c r="E55" s="50" t="s">
        <v>52</v>
      </c>
      <c r="F55" s="19">
        <v>0</v>
      </c>
      <c r="G55" s="26">
        <f>10%*D55</f>
        <v>38.900000000000006</v>
      </c>
      <c r="H55" s="26">
        <f t="shared" si="12"/>
        <v>38.900000000000006</v>
      </c>
      <c r="I55" s="19">
        <v>0</v>
      </c>
      <c r="J55" s="19">
        <v>0</v>
      </c>
      <c r="K55" s="19">
        <v>0</v>
      </c>
      <c r="L55" s="19">
        <v>0</v>
      </c>
      <c r="M55" s="19">
        <f t="shared" si="13"/>
        <v>0</v>
      </c>
      <c r="N55" s="35"/>
      <c r="O55" s="36"/>
      <c r="P55" s="161">
        <f t="shared" si="11"/>
        <v>32971640</v>
      </c>
      <c r="Q55" s="16"/>
    </row>
    <row r="56" spans="1:17" ht="15.75" customHeight="1" x14ac:dyDescent="0.3">
      <c r="A56" s="13"/>
      <c r="B56" s="14" t="s">
        <v>104</v>
      </c>
      <c r="C56" s="15" t="s">
        <v>114</v>
      </c>
      <c r="D56" s="26">
        <f>73.5</f>
        <v>73.5</v>
      </c>
      <c r="E56" s="50" t="s">
        <v>52</v>
      </c>
      <c r="F56" s="19">
        <v>0</v>
      </c>
      <c r="G56" s="26">
        <f>10%*D56</f>
        <v>7.3500000000000005</v>
      </c>
      <c r="H56" s="26">
        <f t="shared" si="12"/>
        <v>7.3500000000000005</v>
      </c>
      <c r="I56" s="19">
        <v>0</v>
      </c>
      <c r="J56" s="19">
        <v>0</v>
      </c>
      <c r="K56" s="19">
        <v>0</v>
      </c>
      <c r="L56" s="19">
        <v>0</v>
      </c>
      <c r="M56" s="19">
        <f t="shared" si="13"/>
        <v>0</v>
      </c>
      <c r="N56" s="35"/>
      <c r="O56" s="36"/>
      <c r="P56" s="161">
        <f t="shared" si="11"/>
        <v>6229859.9999999991</v>
      </c>
      <c r="Q56" s="16"/>
    </row>
    <row r="57" spans="1:17" ht="14.25" customHeight="1" x14ac:dyDescent="0.3">
      <c r="A57" s="13"/>
      <c r="B57" s="14" t="s">
        <v>106</v>
      </c>
      <c r="C57" s="15" t="s">
        <v>22</v>
      </c>
      <c r="D57" s="26">
        <f>1130+101</f>
        <v>1231</v>
      </c>
      <c r="E57" s="50" t="s">
        <v>52</v>
      </c>
      <c r="F57" s="19">
        <v>0</v>
      </c>
      <c r="G57" s="26">
        <f>15%*D57</f>
        <v>184.65</v>
      </c>
      <c r="H57" s="26">
        <f t="shared" si="12"/>
        <v>184.65</v>
      </c>
      <c r="I57" s="19">
        <v>0</v>
      </c>
      <c r="J57" s="19">
        <v>0</v>
      </c>
      <c r="K57" s="19">
        <v>4</v>
      </c>
      <c r="L57" s="19">
        <v>0</v>
      </c>
      <c r="M57" s="19">
        <f t="shared" si="13"/>
        <v>4</v>
      </c>
      <c r="N57" s="35"/>
      <c r="O57" s="36"/>
      <c r="P57" s="161">
        <f t="shared" si="11"/>
        <v>156509339.99999997</v>
      </c>
      <c r="Q57" s="16"/>
    </row>
    <row r="58" spans="1:17" ht="15" customHeight="1" x14ac:dyDescent="0.3">
      <c r="A58" s="13"/>
      <c r="B58" s="14" t="s">
        <v>108</v>
      </c>
      <c r="C58" s="15" t="s">
        <v>180</v>
      </c>
      <c r="D58" s="26">
        <f>134.8+5</f>
        <v>139.80000000000001</v>
      </c>
      <c r="E58" s="47" t="s">
        <v>52</v>
      </c>
      <c r="F58" s="19">
        <f>5%*D58</f>
        <v>6.9900000000000011</v>
      </c>
      <c r="G58" s="26">
        <f>15%*D58</f>
        <v>20.970000000000002</v>
      </c>
      <c r="H58" s="26">
        <f t="shared" si="12"/>
        <v>27.960000000000004</v>
      </c>
      <c r="I58" s="19">
        <v>0</v>
      </c>
      <c r="J58" s="19">
        <v>0</v>
      </c>
      <c r="K58" s="19">
        <v>0</v>
      </c>
      <c r="L58" s="19">
        <v>0</v>
      </c>
      <c r="M58" s="19">
        <f t="shared" si="13"/>
        <v>0</v>
      </c>
      <c r="N58" s="35"/>
      <c r="O58" s="36"/>
      <c r="P58" s="161">
        <f t="shared" si="11"/>
        <v>17774172</v>
      </c>
      <c r="Q58" s="16"/>
    </row>
    <row r="59" spans="1:17" ht="16.5" customHeight="1" x14ac:dyDescent="0.3">
      <c r="A59" s="13"/>
      <c r="B59" s="14" t="s">
        <v>109</v>
      </c>
      <c r="C59" s="15" t="s">
        <v>43</v>
      </c>
      <c r="D59" s="26">
        <f>1189+216.6</f>
        <v>1405.6</v>
      </c>
      <c r="E59" s="50" t="s">
        <v>52</v>
      </c>
      <c r="F59" s="19">
        <v>0</v>
      </c>
      <c r="G59" s="26">
        <f>20%*D59</f>
        <v>281.12</v>
      </c>
      <c r="H59" s="26">
        <f t="shared" si="12"/>
        <v>281.12</v>
      </c>
      <c r="I59" s="19">
        <v>0</v>
      </c>
      <c r="J59" s="19">
        <v>0</v>
      </c>
      <c r="K59" s="19">
        <v>0</v>
      </c>
      <c r="L59" s="19">
        <v>0</v>
      </c>
      <c r="M59" s="19">
        <f t="shared" si="13"/>
        <v>0</v>
      </c>
      <c r="N59" s="35"/>
      <c r="O59" s="36"/>
      <c r="P59" s="161">
        <f t="shared" si="11"/>
        <v>238277312</v>
      </c>
      <c r="Q59" s="16"/>
    </row>
    <row r="60" spans="1:17" ht="14.25" customHeight="1" x14ac:dyDescent="0.3">
      <c r="A60" s="13"/>
      <c r="B60" s="55" t="s">
        <v>111</v>
      </c>
      <c r="C60" s="56" t="s">
        <v>44</v>
      </c>
      <c r="D60" s="57">
        <f>1396.6+127</f>
        <v>1523.6</v>
      </c>
      <c r="E60" s="78" t="s">
        <v>52</v>
      </c>
      <c r="F60" s="19">
        <f>5%*D60</f>
        <v>76.179999999999993</v>
      </c>
      <c r="G60" s="26">
        <f>15%*D60</f>
        <v>228.54</v>
      </c>
      <c r="H60" s="26">
        <f t="shared" si="12"/>
        <v>304.71999999999997</v>
      </c>
      <c r="I60" s="19">
        <v>0</v>
      </c>
      <c r="J60" s="19">
        <v>0</v>
      </c>
      <c r="K60" s="19">
        <v>0</v>
      </c>
      <c r="L60" s="19">
        <v>10</v>
      </c>
      <c r="M60" s="19">
        <f t="shared" si="13"/>
        <v>10</v>
      </c>
      <c r="N60" s="35"/>
      <c r="O60" s="36"/>
      <c r="P60" s="161">
        <f t="shared" si="11"/>
        <v>193710504</v>
      </c>
      <c r="Q60" s="16"/>
    </row>
    <row r="61" spans="1:17" ht="14.25" customHeight="1" x14ac:dyDescent="0.3">
      <c r="A61" s="13"/>
      <c r="B61" s="14" t="s">
        <v>74</v>
      </c>
      <c r="C61" s="15" t="s">
        <v>43</v>
      </c>
      <c r="D61" s="26">
        <v>1189</v>
      </c>
      <c r="E61" s="50" t="s">
        <v>52</v>
      </c>
      <c r="F61" s="19">
        <v>0</v>
      </c>
      <c r="G61" s="26">
        <f>15%*D61</f>
        <v>178.35</v>
      </c>
      <c r="H61" s="26">
        <f t="shared" si="12"/>
        <v>178.35</v>
      </c>
      <c r="I61" s="19">
        <v>0</v>
      </c>
      <c r="J61" s="19"/>
      <c r="K61" s="19">
        <v>6</v>
      </c>
      <c r="L61" s="19">
        <v>5</v>
      </c>
      <c r="M61" s="19">
        <f t="shared" si="13"/>
        <v>11</v>
      </c>
      <c r="N61" s="35"/>
      <c r="O61" s="36"/>
      <c r="P61" s="161">
        <f t="shared" si="11"/>
        <v>151169460</v>
      </c>
      <c r="Q61" s="16"/>
    </row>
    <row r="62" spans="1:17" ht="18.75" customHeight="1" x14ac:dyDescent="0.3">
      <c r="A62" s="54"/>
      <c r="B62" s="55" t="s">
        <v>75</v>
      </c>
      <c r="C62" s="56" t="s">
        <v>44</v>
      </c>
      <c r="D62" s="57">
        <v>1391</v>
      </c>
      <c r="E62" s="78" t="s">
        <v>52</v>
      </c>
      <c r="F62" s="19">
        <f>5%*D62</f>
        <v>69.55</v>
      </c>
      <c r="G62" s="26">
        <f>10%*D62</f>
        <v>139.1</v>
      </c>
      <c r="H62" s="26">
        <f t="shared" si="12"/>
        <v>208.64999999999998</v>
      </c>
      <c r="I62" s="19">
        <v>0</v>
      </c>
      <c r="J62" s="19"/>
      <c r="K62" s="19">
        <v>2</v>
      </c>
      <c r="L62" s="19">
        <v>9</v>
      </c>
      <c r="M62" s="19">
        <f t="shared" si="13"/>
        <v>11</v>
      </c>
      <c r="N62" s="35"/>
      <c r="O62" s="36"/>
      <c r="P62" s="161">
        <f t="shared" si="11"/>
        <v>117901159.99999999</v>
      </c>
      <c r="Q62" s="16"/>
    </row>
    <row r="63" spans="1:17" ht="25.5" customHeight="1" x14ac:dyDescent="0.3">
      <c r="A63" s="89"/>
      <c r="B63" s="72" t="s">
        <v>347</v>
      </c>
      <c r="C63" s="72"/>
      <c r="D63" s="84">
        <f>SUM(D33:D62)</f>
        <v>30736.879999999997</v>
      </c>
      <c r="E63" s="74"/>
      <c r="F63" s="83">
        <f>SUM(F40:F62)</f>
        <v>152.71999999999997</v>
      </c>
      <c r="G63" s="83">
        <f t="shared" ref="G63:M63" si="17">SUM(G33:G62)</f>
        <v>6050.6021000000001</v>
      </c>
      <c r="H63" s="83">
        <f t="shared" si="17"/>
        <v>6460.7298000000001</v>
      </c>
      <c r="I63" s="83">
        <f t="shared" si="17"/>
        <v>0</v>
      </c>
      <c r="J63" s="83">
        <f t="shared" si="17"/>
        <v>0</v>
      </c>
      <c r="K63" s="83">
        <f t="shared" si="17"/>
        <v>52</v>
      </c>
      <c r="L63" s="83">
        <f t="shared" si="17"/>
        <v>75</v>
      </c>
      <c r="M63" s="83">
        <f t="shared" si="17"/>
        <v>127</v>
      </c>
      <c r="N63" s="76"/>
      <c r="O63" s="77"/>
      <c r="P63" s="162">
        <f>SUM(P33:P62)</f>
        <v>5128490339.9599991</v>
      </c>
      <c r="Q63" s="75"/>
    </row>
    <row r="64" spans="1:17" ht="18.75" customHeight="1" x14ac:dyDescent="0.3">
      <c r="A64" s="63">
        <v>4</v>
      </c>
      <c r="B64" s="64" t="s">
        <v>46</v>
      </c>
      <c r="C64" s="65"/>
      <c r="D64" s="66"/>
      <c r="E64" s="67"/>
      <c r="F64" s="82"/>
      <c r="G64" s="82"/>
      <c r="H64" s="82"/>
      <c r="I64" s="82"/>
      <c r="J64" s="82"/>
      <c r="K64" s="82"/>
      <c r="L64" s="82"/>
      <c r="M64" s="82"/>
      <c r="N64" s="69"/>
      <c r="O64" s="70"/>
      <c r="P64" s="70"/>
      <c r="Q64" s="68"/>
    </row>
    <row r="65" spans="1:17" ht="25.5" customHeight="1" x14ac:dyDescent="0.3">
      <c r="A65" s="102"/>
      <c r="B65" s="98" t="s">
        <v>57</v>
      </c>
      <c r="C65" s="99" t="s">
        <v>29</v>
      </c>
      <c r="D65" s="96">
        <v>175</v>
      </c>
      <c r="E65" s="101" t="s">
        <v>233</v>
      </c>
      <c r="F65" s="96"/>
      <c r="G65" s="96">
        <f>10%*D65</f>
        <v>17.5</v>
      </c>
      <c r="H65" s="96">
        <f>SUM(F65:G65)</f>
        <v>17.5</v>
      </c>
      <c r="I65" s="97">
        <v>0</v>
      </c>
      <c r="J65" s="97"/>
      <c r="K65" s="97">
        <v>3</v>
      </c>
      <c r="L65" s="97">
        <v>2</v>
      </c>
      <c r="M65" s="97">
        <f t="shared" ref="M65:M72" si="18">SUM(I65:L65)</f>
        <v>5</v>
      </c>
      <c r="N65" s="35" t="s">
        <v>51</v>
      </c>
      <c r="O65" s="36" t="s">
        <v>229</v>
      </c>
      <c r="P65" s="161">
        <f>G65*1.036*20%*5000000</f>
        <v>18130000</v>
      </c>
      <c r="Q65" s="16"/>
    </row>
    <row r="66" spans="1:17" ht="21.75" customHeight="1" x14ac:dyDescent="0.3">
      <c r="A66" s="13"/>
      <c r="B66" s="14" t="s">
        <v>58</v>
      </c>
      <c r="C66" s="15" t="s">
        <v>33</v>
      </c>
      <c r="D66" s="26">
        <v>368</v>
      </c>
      <c r="E66" s="47" t="s">
        <v>185</v>
      </c>
      <c r="F66" s="26">
        <f>0%*D66</f>
        <v>0</v>
      </c>
      <c r="G66" s="26">
        <f>10%*D66</f>
        <v>36.800000000000004</v>
      </c>
      <c r="H66" s="26">
        <f t="shared" ref="H66:H72" si="19">SUM(F66:G66)</f>
        <v>36.800000000000004</v>
      </c>
      <c r="I66" s="19">
        <v>0</v>
      </c>
      <c r="J66" s="19"/>
      <c r="K66" s="19">
        <v>0</v>
      </c>
      <c r="L66" s="19">
        <v>3</v>
      </c>
      <c r="M66" s="19">
        <f t="shared" si="18"/>
        <v>3</v>
      </c>
      <c r="N66" s="35" t="s">
        <v>51</v>
      </c>
      <c r="O66" s="36" t="s">
        <v>138</v>
      </c>
      <c r="P66" s="161">
        <f>G66*1.036*50%*5000000</f>
        <v>95312000.000000015</v>
      </c>
      <c r="Q66" s="16"/>
    </row>
    <row r="67" spans="1:17" ht="22.5" customHeight="1" x14ac:dyDescent="0.3">
      <c r="A67" s="13"/>
      <c r="B67" s="98" t="s">
        <v>59</v>
      </c>
      <c r="C67" s="99" t="s">
        <v>42</v>
      </c>
      <c r="D67" s="96">
        <v>774.98</v>
      </c>
      <c r="E67" s="101" t="s">
        <v>233</v>
      </c>
      <c r="F67" s="96">
        <f>0%*D67</f>
        <v>0</v>
      </c>
      <c r="G67" s="97">
        <f>19%*D67</f>
        <v>147.24620000000002</v>
      </c>
      <c r="H67" s="96">
        <f t="shared" si="19"/>
        <v>147.24620000000002</v>
      </c>
      <c r="I67" s="97">
        <v>0</v>
      </c>
      <c r="J67" s="97"/>
      <c r="K67" s="97">
        <v>0</v>
      </c>
      <c r="L67" s="97">
        <v>0</v>
      </c>
      <c r="M67" s="97">
        <f t="shared" si="18"/>
        <v>0</v>
      </c>
      <c r="N67" s="35"/>
      <c r="O67" s="36"/>
      <c r="P67" s="161">
        <f>G67*1.036*20%*5000000</f>
        <v>152547063.20000005</v>
      </c>
      <c r="Q67" s="16"/>
    </row>
    <row r="68" spans="1:17" ht="25.5" customHeight="1" x14ac:dyDescent="0.3">
      <c r="A68" s="13"/>
      <c r="B68" s="98" t="s">
        <v>60</v>
      </c>
      <c r="C68" s="99" t="s">
        <v>21</v>
      </c>
      <c r="D68" s="96">
        <v>942.55</v>
      </c>
      <c r="E68" s="101" t="s">
        <v>186</v>
      </c>
      <c r="F68" s="96">
        <f>1%*D68</f>
        <v>9.4254999999999995</v>
      </c>
      <c r="G68" s="97">
        <f>6%*D68</f>
        <v>56.552999999999997</v>
      </c>
      <c r="H68" s="96">
        <f t="shared" si="19"/>
        <v>65.978499999999997</v>
      </c>
      <c r="I68" s="97">
        <v>0</v>
      </c>
      <c r="J68" s="97"/>
      <c r="K68" s="97">
        <v>0</v>
      </c>
      <c r="L68" s="97">
        <v>0</v>
      </c>
      <c r="M68" s="97">
        <f t="shared" si="18"/>
        <v>0</v>
      </c>
      <c r="N68" s="35"/>
      <c r="O68" s="36"/>
      <c r="P68" s="161">
        <f>G68*1.036*20%*5000000</f>
        <v>58588908</v>
      </c>
      <c r="Q68" s="16"/>
    </row>
    <row r="69" spans="1:17" ht="22.5" customHeight="1" x14ac:dyDescent="0.3">
      <c r="A69" s="13"/>
      <c r="B69" s="98"/>
      <c r="C69" s="99"/>
      <c r="D69" s="96"/>
      <c r="E69" s="101" t="s">
        <v>233</v>
      </c>
      <c r="F69" s="96"/>
      <c r="G69" s="96">
        <f>7%*D68</f>
        <v>65.978499999999997</v>
      </c>
      <c r="H69" s="96">
        <f>SUM(F69:G69)</f>
        <v>65.978499999999997</v>
      </c>
      <c r="I69" s="19">
        <v>0</v>
      </c>
      <c r="J69" s="19">
        <v>0</v>
      </c>
      <c r="K69" s="19">
        <v>0</v>
      </c>
      <c r="L69" s="19">
        <v>0</v>
      </c>
      <c r="M69" s="19">
        <f t="shared" si="18"/>
        <v>0</v>
      </c>
      <c r="N69" s="35"/>
      <c r="O69" s="36"/>
      <c r="P69" s="161">
        <f>G69*1.036*20%*5000000</f>
        <v>68353726</v>
      </c>
      <c r="Q69" s="16"/>
    </row>
    <row r="70" spans="1:17" ht="24" customHeight="1" x14ac:dyDescent="0.3">
      <c r="A70" s="16"/>
      <c r="B70" s="14" t="s">
        <v>61</v>
      </c>
      <c r="C70" s="15" t="s">
        <v>22</v>
      </c>
      <c r="D70" s="26">
        <v>1233.55</v>
      </c>
      <c r="E70" s="101" t="s">
        <v>233</v>
      </c>
      <c r="F70" s="26">
        <f>0%*D70</f>
        <v>0</v>
      </c>
      <c r="G70" s="19">
        <f>5%*D70</f>
        <v>61.677500000000002</v>
      </c>
      <c r="H70" s="26">
        <f t="shared" si="19"/>
        <v>61.677500000000002</v>
      </c>
      <c r="I70" s="19">
        <v>0</v>
      </c>
      <c r="J70" s="19"/>
      <c r="K70" s="19">
        <v>0</v>
      </c>
      <c r="L70" s="19">
        <v>1</v>
      </c>
      <c r="M70" s="19">
        <f t="shared" si="18"/>
        <v>1</v>
      </c>
      <c r="N70" s="35"/>
      <c r="O70" s="36"/>
      <c r="P70" s="161">
        <f>G70*1.036*20%*5000000</f>
        <v>63897890.000000007</v>
      </c>
      <c r="Q70" s="16"/>
    </row>
    <row r="71" spans="1:17" ht="21" customHeight="1" x14ac:dyDescent="0.3">
      <c r="A71" s="87"/>
      <c r="B71" s="55" t="s">
        <v>62</v>
      </c>
      <c r="C71" s="56" t="s">
        <v>43</v>
      </c>
      <c r="D71" s="57">
        <v>133</v>
      </c>
      <c r="E71" s="101" t="s">
        <v>233</v>
      </c>
      <c r="F71" s="26">
        <f>0%*D71</f>
        <v>0</v>
      </c>
      <c r="G71" s="19">
        <f>4%*D71</f>
        <v>5.32</v>
      </c>
      <c r="H71" s="26">
        <f t="shared" si="19"/>
        <v>5.32</v>
      </c>
      <c r="I71" s="19">
        <v>0</v>
      </c>
      <c r="J71" s="19"/>
      <c r="K71" s="19">
        <v>0</v>
      </c>
      <c r="L71" s="19">
        <v>2</v>
      </c>
      <c r="M71" s="19">
        <f t="shared" si="18"/>
        <v>2</v>
      </c>
      <c r="N71" s="35"/>
      <c r="O71" s="36"/>
      <c r="P71" s="161">
        <f>G71*1.036*20%*5000000</f>
        <v>5511520.0000000009</v>
      </c>
      <c r="Q71" s="16"/>
    </row>
    <row r="72" spans="1:17" ht="27.75" customHeight="1" x14ac:dyDescent="0.3">
      <c r="A72" s="16"/>
      <c r="B72" s="14" t="s">
        <v>63</v>
      </c>
      <c r="C72" s="15" t="s">
        <v>32</v>
      </c>
      <c r="D72" s="26">
        <v>298.5</v>
      </c>
      <c r="E72" s="101" t="s">
        <v>236</v>
      </c>
      <c r="F72" s="26">
        <f>0%*D72</f>
        <v>0</v>
      </c>
      <c r="G72" s="19">
        <f>3%*D72</f>
        <v>8.9550000000000001</v>
      </c>
      <c r="H72" s="26">
        <f t="shared" si="19"/>
        <v>8.9550000000000001</v>
      </c>
      <c r="I72" s="135">
        <v>0</v>
      </c>
      <c r="J72" s="135"/>
      <c r="K72" s="135">
        <v>0</v>
      </c>
      <c r="L72" s="135">
        <v>5</v>
      </c>
      <c r="M72" s="135">
        <f t="shared" si="18"/>
        <v>5</v>
      </c>
      <c r="N72" s="80"/>
      <c r="O72" s="81"/>
      <c r="P72" s="161">
        <f t="shared" ref="P72" si="20">G72*1.036*20%*6000000</f>
        <v>11132856.000000002</v>
      </c>
      <c r="Q72" s="87"/>
    </row>
    <row r="73" spans="1:17" ht="18.75" customHeight="1" x14ac:dyDescent="0.3">
      <c r="A73" s="75"/>
      <c r="B73" s="72" t="s">
        <v>348</v>
      </c>
      <c r="C73" s="72"/>
      <c r="D73" s="73">
        <f>SUM(D65:D72)</f>
        <v>3925.58</v>
      </c>
      <c r="E73" s="74"/>
      <c r="F73" s="73">
        <f t="shared" ref="F73:K73" si="21">SUM(F65:F72)</f>
        <v>9.4254999999999995</v>
      </c>
      <c r="G73" s="83">
        <f t="shared" si="21"/>
        <v>400.03019999999998</v>
      </c>
      <c r="H73" s="73">
        <f t="shared" si="21"/>
        <v>409.45570000000004</v>
      </c>
      <c r="I73" s="83">
        <f t="shared" si="21"/>
        <v>0</v>
      </c>
      <c r="J73" s="83">
        <f t="shared" si="21"/>
        <v>0</v>
      </c>
      <c r="K73" s="83">
        <f t="shared" si="21"/>
        <v>3</v>
      </c>
      <c r="L73" s="83">
        <f>SUM(L64:L72)</f>
        <v>13</v>
      </c>
      <c r="M73" s="83">
        <f>SUM(M65:M72)</f>
        <v>16</v>
      </c>
      <c r="N73" s="76"/>
      <c r="O73" s="77"/>
      <c r="P73" s="162">
        <f>SUM(P65:P72)</f>
        <v>473473963.20000005</v>
      </c>
      <c r="Q73" s="75"/>
    </row>
    <row r="74" spans="1:17" ht="16.5" customHeight="1" x14ac:dyDescent="0.3">
      <c r="A74" s="63">
        <v>5</v>
      </c>
      <c r="B74" s="64" t="s">
        <v>96</v>
      </c>
      <c r="C74" s="65"/>
      <c r="D74" s="66"/>
      <c r="E74" s="67"/>
      <c r="F74" s="66"/>
      <c r="G74" s="66"/>
      <c r="H74" s="66"/>
      <c r="I74" s="82"/>
      <c r="J74" s="82"/>
      <c r="K74" s="82"/>
      <c r="L74" s="82"/>
      <c r="M74" s="82"/>
      <c r="N74" s="69"/>
      <c r="O74" s="70"/>
      <c r="P74" s="70"/>
      <c r="Q74" s="68"/>
    </row>
    <row r="75" spans="1:17" ht="16.5" customHeight="1" x14ac:dyDescent="0.3">
      <c r="A75" s="16"/>
      <c r="B75" s="14" t="s">
        <v>57</v>
      </c>
      <c r="C75" s="15" t="s">
        <v>22</v>
      </c>
      <c r="D75" s="26">
        <v>9.5</v>
      </c>
      <c r="E75" s="47" t="s">
        <v>163</v>
      </c>
      <c r="F75" s="26">
        <f>10%*D75</f>
        <v>0.95000000000000007</v>
      </c>
      <c r="G75" s="26">
        <f>7%*D75</f>
        <v>0.66500000000000004</v>
      </c>
      <c r="H75" s="26">
        <f t="shared" ref="H75:H83" si="22">SUM(F75:G75)</f>
        <v>1.6150000000000002</v>
      </c>
      <c r="I75" s="19">
        <v>0</v>
      </c>
      <c r="J75" s="19"/>
      <c r="K75" s="19">
        <v>0</v>
      </c>
      <c r="L75" s="19">
        <v>1</v>
      </c>
      <c r="M75" s="19">
        <f>SUM(I75:L75)</f>
        <v>1</v>
      </c>
      <c r="N75" s="35"/>
      <c r="O75" s="36"/>
      <c r="P75" s="161">
        <f>G75*0.486*30%*30000000</f>
        <v>2908710</v>
      </c>
      <c r="Q75" s="16"/>
    </row>
    <row r="76" spans="1:17" ht="17.25" customHeight="1" x14ac:dyDescent="0.3">
      <c r="A76" s="16"/>
      <c r="B76" s="14" t="s">
        <v>58</v>
      </c>
      <c r="C76" s="15" t="s">
        <v>21</v>
      </c>
      <c r="D76" s="26">
        <v>18.11</v>
      </c>
      <c r="E76" s="47" t="s">
        <v>164</v>
      </c>
      <c r="F76" s="26">
        <f>11%*D76</f>
        <v>1.9921</v>
      </c>
      <c r="G76" s="26">
        <f>9%*D76</f>
        <v>1.6298999999999999</v>
      </c>
      <c r="H76" s="26">
        <f t="shared" si="22"/>
        <v>3.6219999999999999</v>
      </c>
      <c r="I76" s="19">
        <v>0</v>
      </c>
      <c r="J76" s="19"/>
      <c r="K76" s="19">
        <v>1</v>
      </c>
      <c r="L76" s="19">
        <v>1</v>
      </c>
      <c r="M76" s="19">
        <f t="shared" ref="M76:M83" si="23">SUM(I76:L76)</f>
        <v>2</v>
      </c>
      <c r="N76" s="35"/>
      <c r="O76" s="36" t="s">
        <v>50</v>
      </c>
      <c r="P76" s="161">
        <f>G76*0.486*30%*30000000</f>
        <v>7129182.5999999987</v>
      </c>
      <c r="Q76" s="16"/>
    </row>
    <row r="77" spans="1:17" ht="16.5" customHeight="1" x14ac:dyDescent="0.3">
      <c r="A77" s="16"/>
      <c r="B77" s="14"/>
      <c r="C77" s="15"/>
      <c r="D77" s="26"/>
      <c r="E77" s="49" t="s">
        <v>187</v>
      </c>
      <c r="F77" s="96">
        <f>12%*D76</f>
        <v>2.1732</v>
      </c>
      <c r="G77" s="96">
        <f>5%*D76</f>
        <v>0.90549999999999997</v>
      </c>
      <c r="H77" s="96">
        <f t="shared" si="22"/>
        <v>3.0787</v>
      </c>
      <c r="I77" s="97">
        <v>0</v>
      </c>
      <c r="J77" s="97">
        <v>0</v>
      </c>
      <c r="K77" s="97">
        <v>0</v>
      </c>
      <c r="L77" s="97">
        <v>0</v>
      </c>
      <c r="M77" s="97">
        <f t="shared" si="23"/>
        <v>0</v>
      </c>
      <c r="N77" s="35"/>
      <c r="O77" s="36"/>
      <c r="P77" s="161">
        <f>G77*0.486*30%*30000000</f>
        <v>3960657</v>
      </c>
      <c r="Q77" s="16"/>
    </row>
    <row r="78" spans="1:17" ht="16.5" customHeight="1" x14ac:dyDescent="0.3">
      <c r="A78" s="16"/>
      <c r="B78" s="14" t="s">
        <v>59</v>
      </c>
      <c r="C78" s="15" t="s">
        <v>43</v>
      </c>
      <c r="D78" s="26">
        <v>19.79</v>
      </c>
      <c r="E78" s="47" t="s">
        <v>164</v>
      </c>
      <c r="F78" s="26">
        <f>9%*D78</f>
        <v>1.7810999999999999</v>
      </c>
      <c r="G78" s="26">
        <f>1%*D78</f>
        <v>0.19789999999999999</v>
      </c>
      <c r="H78" s="26">
        <f t="shared" si="22"/>
        <v>1.9789999999999999</v>
      </c>
      <c r="I78" s="19">
        <v>0</v>
      </c>
      <c r="J78" s="19"/>
      <c r="K78" s="19">
        <v>1</v>
      </c>
      <c r="L78" s="19">
        <v>0</v>
      </c>
      <c r="M78" s="19">
        <f t="shared" si="23"/>
        <v>1</v>
      </c>
      <c r="N78" s="35"/>
      <c r="O78" s="36" t="s">
        <v>137</v>
      </c>
      <c r="P78" s="161">
        <f>G78*0.486*30%*35000000</f>
        <v>1009883.7</v>
      </c>
      <c r="Q78" s="16"/>
    </row>
    <row r="79" spans="1:17" ht="17.25" customHeight="1" x14ac:dyDescent="0.3">
      <c r="A79" s="16"/>
      <c r="B79" s="14" t="s">
        <v>60</v>
      </c>
      <c r="C79" s="15" t="s">
        <v>44</v>
      </c>
      <c r="D79" s="26">
        <v>30.5</v>
      </c>
      <c r="E79" s="47" t="s">
        <v>164</v>
      </c>
      <c r="F79" s="26">
        <f>9%*D79</f>
        <v>2.7450000000000001</v>
      </c>
      <c r="G79" s="26">
        <f>1%*D79</f>
        <v>0.30499999999999999</v>
      </c>
      <c r="H79" s="26">
        <f t="shared" si="22"/>
        <v>3.0500000000000003</v>
      </c>
      <c r="I79" s="19">
        <v>0</v>
      </c>
      <c r="J79" s="19">
        <v>0</v>
      </c>
      <c r="K79" s="19">
        <v>0</v>
      </c>
      <c r="L79" s="19">
        <v>0</v>
      </c>
      <c r="M79" s="19">
        <f t="shared" si="23"/>
        <v>0</v>
      </c>
      <c r="N79" s="35"/>
      <c r="O79" s="36" t="s">
        <v>145</v>
      </c>
      <c r="P79" s="161">
        <f>G79*0.486*30%*340000000</f>
        <v>15119460</v>
      </c>
      <c r="Q79" s="16"/>
    </row>
    <row r="80" spans="1:17" ht="15.75" customHeight="1" x14ac:dyDescent="0.3">
      <c r="A80" s="16"/>
      <c r="B80" s="14" t="s">
        <v>61</v>
      </c>
      <c r="C80" s="15" t="s">
        <v>33</v>
      </c>
      <c r="D80" s="26">
        <v>8.3000000000000007</v>
      </c>
      <c r="E80" s="47" t="s">
        <v>164</v>
      </c>
      <c r="F80" s="26">
        <f>9%*D80</f>
        <v>0.747</v>
      </c>
      <c r="G80" s="26">
        <f>1%*D80</f>
        <v>8.3000000000000004E-2</v>
      </c>
      <c r="H80" s="26">
        <f t="shared" si="22"/>
        <v>0.83</v>
      </c>
      <c r="I80" s="19">
        <v>0</v>
      </c>
      <c r="J80" s="19">
        <v>0</v>
      </c>
      <c r="K80" s="19">
        <v>0</v>
      </c>
      <c r="L80" s="19">
        <v>0</v>
      </c>
      <c r="M80" s="19">
        <f t="shared" si="23"/>
        <v>0</v>
      </c>
      <c r="N80" s="35"/>
      <c r="O80" s="36" t="s">
        <v>626</v>
      </c>
      <c r="P80" s="161">
        <f t="shared" ref="P80:P83" si="24">G80*0.486*30%*40000000</f>
        <v>484056</v>
      </c>
      <c r="Q80" s="16"/>
    </row>
    <row r="81" spans="1:20" ht="17.25" customHeight="1" x14ac:dyDescent="0.3">
      <c r="A81" s="16"/>
      <c r="B81" s="14" t="s">
        <v>62</v>
      </c>
      <c r="C81" s="15" t="s">
        <v>32</v>
      </c>
      <c r="D81" s="26">
        <v>1.25</v>
      </c>
      <c r="E81" s="47" t="s">
        <v>164</v>
      </c>
      <c r="F81" s="26">
        <f>1%*D81</f>
        <v>1.2500000000000001E-2</v>
      </c>
      <c r="G81" s="26">
        <f>1%*D81</f>
        <v>1.2500000000000001E-2</v>
      </c>
      <c r="H81" s="26">
        <f t="shared" si="22"/>
        <v>2.5000000000000001E-2</v>
      </c>
      <c r="I81" s="19">
        <v>0</v>
      </c>
      <c r="J81" s="19">
        <v>0</v>
      </c>
      <c r="K81" s="19">
        <v>0</v>
      </c>
      <c r="L81" s="19">
        <v>0</v>
      </c>
      <c r="M81" s="19">
        <f t="shared" si="23"/>
        <v>0</v>
      </c>
      <c r="N81" s="35"/>
      <c r="O81" s="36"/>
      <c r="P81" s="161">
        <f t="shared" si="24"/>
        <v>72900</v>
      </c>
      <c r="Q81" s="16"/>
    </row>
    <row r="82" spans="1:20" ht="16.5" customHeight="1" x14ac:dyDescent="0.3">
      <c r="A82" s="16"/>
      <c r="B82" s="14">
        <v>9</v>
      </c>
      <c r="C82" s="15" t="s">
        <v>30</v>
      </c>
      <c r="D82" s="26">
        <v>9.5</v>
      </c>
      <c r="E82" s="47" t="s">
        <v>164</v>
      </c>
      <c r="F82" s="26">
        <f>11%*D82</f>
        <v>1.0449999999999999</v>
      </c>
      <c r="G82" s="26">
        <f>1%*D82</f>
        <v>9.5000000000000001E-2</v>
      </c>
      <c r="H82" s="26">
        <f t="shared" si="22"/>
        <v>1.1399999999999999</v>
      </c>
      <c r="I82" s="19">
        <v>0</v>
      </c>
      <c r="J82" s="19">
        <v>0</v>
      </c>
      <c r="K82" s="19">
        <v>0</v>
      </c>
      <c r="L82" s="19">
        <v>0</v>
      </c>
      <c r="M82" s="19">
        <f t="shared" si="23"/>
        <v>0</v>
      </c>
      <c r="N82" s="35"/>
      <c r="O82" s="36"/>
      <c r="P82" s="161">
        <f t="shared" si="24"/>
        <v>554040</v>
      </c>
      <c r="Q82" s="16"/>
    </row>
    <row r="83" spans="1:20" ht="17.25" customHeight="1" x14ac:dyDescent="0.3">
      <c r="A83" s="87"/>
      <c r="B83" s="55" t="s">
        <v>64</v>
      </c>
      <c r="C83" s="56" t="s">
        <v>31</v>
      </c>
      <c r="D83" s="57">
        <v>6</v>
      </c>
      <c r="E83" s="85" t="s">
        <v>164</v>
      </c>
      <c r="F83" s="26">
        <f>14%*D83</f>
        <v>0.84000000000000008</v>
      </c>
      <c r="G83" s="26">
        <f>9%*D83</f>
        <v>0.54</v>
      </c>
      <c r="H83" s="26">
        <f t="shared" si="22"/>
        <v>1.3800000000000001</v>
      </c>
      <c r="I83" s="79">
        <v>0</v>
      </c>
      <c r="J83" s="79">
        <v>0</v>
      </c>
      <c r="K83" s="79">
        <v>0</v>
      </c>
      <c r="L83" s="79">
        <v>0</v>
      </c>
      <c r="M83" s="79">
        <f t="shared" si="23"/>
        <v>0</v>
      </c>
      <c r="N83" s="80"/>
      <c r="O83" s="81"/>
      <c r="P83" s="161">
        <f t="shared" si="24"/>
        <v>3149280</v>
      </c>
      <c r="Q83" s="87"/>
    </row>
    <row r="84" spans="1:20" ht="18.75" customHeight="1" x14ac:dyDescent="0.3">
      <c r="A84" s="75"/>
      <c r="B84" s="72" t="s">
        <v>349</v>
      </c>
      <c r="C84" s="72"/>
      <c r="D84" s="73">
        <f>SUM(D75:D83)</f>
        <v>102.95</v>
      </c>
      <c r="E84" s="74"/>
      <c r="F84" s="73">
        <f t="shared" ref="F84:K84" si="25">SUM(F75:F83)</f>
        <v>12.2859</v>
      </c>
      <c r="G84" s="73">
        <f t="shared" si="25"/>
        <v>4.4338000000000015</v>
      </c>
      <c r="H84" s="73">
        <f t="shared" si="25"/>
        <v>16.7197</v>
      </c>
      <c r="I84" s="83">
        <f t="shared" si="25"/>
        <v>0</v>
      </c>
      <c r="J84" s="83">
        <f t="shared" si="25"/>
        <v>0</v>
      </c>
      <c r="K84" s="83">
        <f t="shared" si="25"/>
        <v>2</v>
      </c>
      <c r="L84" s="83">
        <f>SUM(L74:L83)</f>
        <v>2</v>
      </c>
      <c r="M84" s="83">
        <f>SUM(M75:M83)</f>
        <v>4</v>
      </c>
      <c r="N84" s="76"/>
      <c r="O84" s="77"/>
      <c r="P84" s="162">
        <f>SUM(P75:P83)</f>
        <v>34388169.299999997</v>
      </c>
      <c r="Q84" s="75"/>
    </row>
    <row r="85" spans="1:20" ht="17.25" customHeight="1" x14ac:dyDescent="0.3">
      <c r="A85" s="103">
        <v>6</v>
      </c>
      <c r="B85" s="104" t="s">
        <v>116</v>
      </c>
      <c r="C85" s="104"/>
      <c r="D85" s="105"/>
      <c r="E85" s="106"/>
      <c r="F85" s="105"/>
      <c r="G85" s="107"/>
      <c r="H85" s="105"/>
      <c r="I85" s="107"/>
      <c r="J85" s="107"/>
      <c r="K85" s="107"/>
      <c r="L85" s="107"/>
      <c r="M85" s="107"/>
      <c r="N85" s="69"/>
      <c r="O85" s="70"/>
      <c r="P85" s="70"/>
      <c r="Q85" s="68"/>
      <c r="S85" s="1" t="s">
        <v>596</v>
      </c>
    </row>
    <row r="86" spans="1:20" ht="20.25" customHeight="1" x14ac:dyDescent="0.3">
      <c r="A86" s="27"/>
      <c r="B86" s="152" t="s">
        <v>57</v>
      </c>
      <c r="C86" s="153" t="s">
        <v>30</v>
      </c>
      <c r="D86" s="154">
        <v>57.9</v>
      </c>
      <c r="E86" s="101" t="s">
        <v>607</v>
      </c>
      <c r="F86" s="154">
        <f>3%*D86</f>
        <v>1.7369999999999999</v>
      </c>
      <c r="G86" s="155">
        <f>5%*D86</f>
        <v>2.895</v>
      </c>
      <c r="H86" s="154">
        <f t="shared" ref="H86:H91" si="26">SUM(F86:G86)</f>
        <v>4.6319999999999997</v>
      </c>
      <c r="I86" s="155">
        <v>0</v>
      </c>
      <c r="J86" s="155"/>
      <c r="K86" s="155"/>
      <c r="L86" s="155">
        <v>0</v>
      </c>
      <c r="M86" s="155">
        <f>SUM(I86:L86)</f>
        <v>0</v>
      </c>
      <c r="N86" s="156" t="s">
        <v>86</v>
      </c>
      <c r="O86" s="40" t="s">
        <v>271</v>
      </c>
      <c r="P86" s="176">
        <f t="shared" ref="P86:P91" si="27">G86*0.347*30*16000000</f>
        <v>482191200</v>
      </c>
      <c r="Q86" s="27"/>
      <c r="S86" s="1" t="s">
        <v>597</v>
      </c>
      <c r="T86" s="1" t="s">
        <v>598</v>
      </c>
    </row>
    <row r="87" spans="1:20" ht="20.25" customHeight="1" x14ac:dyDescent="0.3">
      <c r="A87" s="27"/>
      <c r="B87" s="152"/>
      <c r="C87" s="153"/>
      <c r="D87" s="154"/>
      <c r="E87" s="101" t="s">
        <v>625</v>
      </c>
      <c r="F87" s="154">
        <f>5%*D86</f>
        <v>2.895</v>
      </c>
      <c r="G87" s="155">
        <f>4%*D86</f>
        <v>2.3159999999999998</v>
      </c>
      <c r="H87" s="154">
        <f t="shared" ref="H87" si="28">SUM(F87:G87)</f>
        <v>5.2110000000000003</v>
      </c>
      <c r="I87" s="155">
        <v>0</v>
      </c>
      <c r="J87" s="155"/>
      <c r="K87" s="155">
        <v>3</v>
      </c>
      <c r="L87" s="155">
        <v>0</v>
      </c>
      <c r="M87" s="155">
        <f>SUM(I87:L87)</f>
        <v>3</v>
      </c>
      <c r="N87" s="156"/>
      <c r="O87" s="40"/>
      <c r="P87" s="176">
        <f t="shared" si="27"/>
        <v>385752960</v>
      </c>
      <c r="Q87" s="27"/>
    </row>
    <row r="88" spans="1:20" ht="22.5" customHeight="1" x14ac:dyDescent="0.3">
      <c r="A88" s="16"/>
      <c r="B88" s="14" t="s">
        <v>58</v>
      </c>
      <c r="C88" s="15" t="s">
        <v>44</v>
      </c>
      <c r="D88" s="26">
        <v>84.65</v>
      </c>
      <c r="E88" s="47" t="s">
        <v>182</v>
      </c>
      <c r="F88" s="26">
        <f>4%*D88</f>
        <v>3.3860000000000001</v>
      </c>
      <c r="G88" s="19">
        <f>2%*D88</f>
        <v>1.6930000000000001</v>
      </c>
      <c r="H88" s="26">
        <f t="shared" si="26"/>
        <v>5.0790000000000006</v>
      </c>
      <c r="I88" s="19">
        <v>0</v>
      </c>
      <c r="J88" s="19"/>
      <c r="K88" s="19">
        <v>2</v>
      </c>
      <c r="L88" s="19">
        <v>0</v>
      </c>
      <c r="M88" s="19">
        <f t="shared" ref="M88:M91" si="29">SUM(I88:L88)</f>
        <v>2</v>
      </c>
      <c r="N88" s="35"/>
      <c r="O88" s="36" t="s">
        <v>272</v>
      </c>
      <c r="P88" s="176">
        <f t="shared" si="27"/>
        <v>281986079.99999994</v>
      </c>
      <c r="Q88" s="16"/>
      <c r="S88" s="1" t="s">
        <v>599</v>
      </c>
      <c r="T88" s="1" t="s">
        <v>600</v>
      </c>
    </row>
    <row r="89" spans="1:20" ht="29.25" customHeight="1" x14ac:dyDescent="0.3">
      <c r="A89" s="16"/>
      <c r="B89" s="14"/>
      <c r="C89" s="15"/>
      <c r="D89" s="26"/>
      <c r="E89" s="101" t="s">
        <v>181</v>
      </c>
      <c r="F89" s="96">
        <f>9%*D88</f>
        <v>7.6185</v>
      </c>
      <c r="G89" s="97">
        <v>2</v>
      </c>
      <c r="H89" s="96">
        <f t="shared" si="26"/>
        <v>9.6185000000000009</v>
      </c>
      <c r="I89" s="97">
        <v>0</v>
      </c>
      <c r="J89" s="97"/>
      <c r="K89" s="97">
        <v>0</v>
      </c>
      <c r="L89" s="97">
        <v>0</v>
      </c>
      <c r="M89" s="97">
        <f>SUM(I89:L89)</f>
        <v>0</v>
      </c>
      <c r="N89" s="35"/>
      <c r="O89" s="159" t="s">
        <v>273</v>
      </c>
      <c r="P89" s="176">
        <f t="shared" si="27"/>
        <v>333120000</v>
      </c>
      <c r="Q89" s="16"/>
    </row>
    <row r="90" spans="1:20" ht="27.75" customHeight="1" x14ac:dyDescent="0.3">
      <c r="A90" s="16"/>
      <c r="B90" s="14" t="s">
        <v>59</v>
      </c>
      <c r="C90" s="15" t="s">
        <v>33</v>
      </c>
      <c r="D90" s="26">
        <v>14.2</v>
      </c>
      <c r="E90" s="101" t="s">
        <v>181</v>
      </c>
      <c r="F90" s="26">
        <f>10%*D90</f>
        <v>1.42</v>
      </c>
      <c r="G90" s="155">
        <f>5%*D90</f>
        <v>0.71</v>
      </c>
      <c r="H90" s="26">
        <f t="shared" si="26"/>
        <v>2.13</v>
      </c>
      <c r="I90" s="19">
        <v>0</v>
      </c>
      <c r="J90" s="19"/>
      <c r="K90" s="19"/>
      <c r="L90" s="19"/>
      <c r="M90" s="19">
        <f t="shared" si="29"/>
        <v>0</v>
      </c>
      <c r="N90" s="35" t="s">
        <v>88</v>
      </c>
      <c r="O90" s="36" t="s">
        <v>274</v>
      </c>
      <c r="P90" s="176">
        <f t="shared" si="27"/>
        <v>118257600</v>
      </c>
      <c r="Q90" s="16"/>
      <c r="S90" s="1" t="s">
        <v>592</v>
      </c>
    </row>
    <row r="91" spans="1:20" ht="48" customHeight="1" x14ac:dyDescent="0.3">
      <c r="A91" s="108"/>
      <c r="B91" s="128" t="s">
        <v>61</v>
      </c>
      <c r="C91" s="126" t="s">
        <v>35</v>
      </c>
      <c r="D91" s="127">
        <v>36.72</v>
      </c>
      <c r="E91" s="142" t="s">
        <v>183</v>
      </c>
      <c r="F91" s="127">
        <f>7%*D91</f>
        <v>2.5704000000000002</v>
      </c>
      <c r="G91" s="155">
        <f>5%*D91</f>
        <v>1.8360000000000001</v>
      </c>
      <c r="H91" s="127">
        <f t="shared" si="26"/>
        <v>4.4064000000000005</v>
      </c>
      <c r="I91" s="143">
        <v>0</v>
      </c>
      <c r="J91" s="143">
        <v>0</v>
      </c>
      <c r="K91" s="143">
        <v>0</v>
      </c>
      <c r="L91" s="143">
        <v>0</v>
      </c>
      <c r="M91" s="143">
        <f t="shared" si="29"/>
        <v>0</v>
      </c>
      <c r="N91" s="157" t="s">
        <v>254</v>
      </c>
      <c r="O91" s="158" t="s">
        <v>137</v>
      </c>
      <c r="P91" s="221">
        <f t="shared" si="27"/>
        <v>305804160</v>
      </c>
      <c r="Q91" s="87"/>
      <c r="S91" s="217" t="s">
        <v>601</v>
      </c>
      <c r="T91" s="216" t="s">
        <v>602</v>
      </c>
    </row>
    <row r="92" spans="1:20" ht="14.25" customHeight="1" x14ac:dyDescent="0.3">
      <c r="A92" s="75"/>
      <c r="B92" s="136" t="s">
        <v>351</v>
      </c>
      <c r="C92" s="137"/>
      <c r="D92" s="138">
        <f>SUM(D86:D91)</f>
        <v>193.47</v>
      </c>
      <c r="E92" s="139"/>
      <c r="F92" s="138">
        <f t="shared" ref="F92:M92" si="30">SUM(F86:F91)</f>
        <v>19.626899999999999</v>
      </c>
      <c r="G92" s="140">
        <f t="shared" si="30"/>
        <v>11.450000000000001</v>
      </c>
      <c r="H92" s="138">
        <f t="shared" si="30"/>
        <v>31.076900000000002</v>
      </c>
      <c r="I92" s="140">
        <f t="shared" si="30"/>
        <v>0</v>
      </c>
      <c r="J92" s="140">
        <f t="shared" si="30"/>
        <v>0</v>
      </c>
      <c r="K92" s="140">
        <f t="shared" si="30"/>
        <v>5</v>
      </c>
      <c r="L92" s="140">
        <f t="shared" si="30"/>
        <v>0</v>
      </c>
      <c r="M92" s="140">
        <f t="shared" si="30"/>
        <v>5</v>
      </c>
      <c r="N92" s="76"/>
      <c r="O92" s="77"/>
      <c r="P92" s="185">
        <f>SUM(P86:P91)</f>
        <v>1907112000</v>
      </c>
      <c r="Q92" s="75"/>
    </row>
    <row r="93" spans="1:20" ht="13.5" customHeight="1" x14ac:dyDescent="0.3">
      <c r="A93" s="63">
        <v>7</v>
      </c>
      <c r="B93" s="8" t="s">
        <v>117</v>
      </c>
      <c r="C93" s="10"/>
      <c r="D93" s="90"/>
      <c r="E93" s="67"/>
      <c r="F93" s="66"/>
      <c r="G93" s="218"/>
      <c r="H93" s="66"/>
      <c r="I93" s="82"/>
      <c r="J93" s="82"/>
      <c r="K93" s="82"/>
      <c r="L93" s="82"/>
      <c r="M93" s="82"/>
      <c r="N93" s="69"/>
      <c r="O93" s="70"/>
      <c r="P93" s="70"/>
      <c r="Q93" s="68"/>
    </row>
    <row r="94" spans="1:20" ht="24.75" customHeight="1" x14ac:dyDescent="0.3">
      <c r="A94" s="16"/>
      <c r="B94" s="14" t="s">
        <v>57</v>
      </c>
      <c r="C94" s="15" t="s">
        <v>22</v>
      </c>
      <c r="D94" s="26">
        <v>296.95</v>
      </c>
      <c r="E94" s="101" t="s">
        <v>203</v>
      </c>
      <c r="F94" s="96">
        <f>4%*D94</f>
        <v>11.878</v>
      </c>
      <c r="G94" s="97">
        <f>1%*D94</f>
        <v>2.9695</v>
      </c>
      <c r="H94" s="96">
        <f t="shared" ref="H94:H102" si="31">SUM(F94:G94)</f>
        <v>14.8475</v>
      </c>
      <c r="I94" s="97">
        <v>0</v>
      </c>
      <c r="J94" s="97"/>
      <c r="K94" s="97">
        <v>0</v>
      </c>
      <c r="L94" s="97">
        <v>5</v>
      </c>
      <c r="M94" s="97">
        <f>SUM(I94:L94)</f>
        <v>5</v>
      </c>
      <c r="N94" s="35"/>
      <c r="O94" s="40" t="s">
        <v>211</v>
      </c>
      <c r="P94" s="167">
        <f t="shared" ref="P94:P103" si="32">G94*0.3*30%*50000000</f>
        <v>13362750.000000002</v>
      </c>
      <c r="Q94" s="16"/>
    </row>
    <row r="95" spans="1:20" ht="15" customHeight="1" x14ac:dyDescent="0.3">
      <c r="A95" s="16"/>
      <c r="B95" s="14"/>
      <c r="C95" s="15"/>
      <c r="D95" s="26"/>
      <c r="E95" s="101" t="s">
        <v>220</v>
      </c>
      <c r="F95" s="96">
        <f>1%*D94</f>
        <v>2.9695</v>
      </c>
      <c r="G95" s="97">
        <f>1%*D94</f>
        <v>2.9695</v>
      </c>
      <c r="H95" s="96">
        <f>SUM(F95:G95)</f>
        <v>5.9390000000000001</v>
      </c>
      <c r="I95" s="97">
        <v>0</v>
      </c>
      <c r="J95" s="97"/>
      <c r="K95" s="97">
        <v>0</v>
      </c>
      <c r="L95" s="97">
        <v>3</v>
      </c>
      <c r="M95" s="97">
        <f>SUM(I95:L95)</f>
        <v>3</v>
      </c>
      <c r="N95" s="35"/>
      <c r="O95" s="40"/>
      <c r="P95" s="167">
        <f t="shared" si="32"/>
        <v>13362750.000000002</v>
      </c>
      <c r="Q95" s="16"/>
    </row>
    <row r="96" spans="1:20" ht="32.25" customHeight="1" x14ac:dyDescent="0.3">
      <c r="A96" s="16"/>
      <c r="B96" s="14" t="s">
        <v>58</v>
      </c>
      <c r="C96" s="15" t="s">
        <v>42</v>
      </c>
      <c r="D96" s="26">
        <v>248.5</v>
      </c>
      <c r="E96" s="101" t="s">
        <v>203</v>
      </c>
      <c r="F96" s="96">
        <f>3%*D96</f>
        <v>7.4550000000000001</v>
      </c>
      <c r="G96" s="97">
        <f>1%*D96</f>
        <v>2.4849999999999999</v>
      </c>
      <c r="H96" s="96">
        <f t="shared" si="31"/>
        <v>9.94</v>
      </c>
      <c r="I96" s="97">
        <v>0</v>
      </c>
      <c r="J96" s="97"/>
      <c r="K96" s="97">
        <v>0</v>
      </c>
      <c r="L96" s="97">
        <v>4</v>
      </c>
      <c r="M96" s="97">
        <f>SUM(I96:L96)</f>
        <v>4</v>
      </c>
      <c r="N96" s="35"/>
      <c r="O96" s="40" t="s">
        <v>137</v>
      </c>
      <c r="P96" s="167">
        <f t="shared" si="32"/>
        <v>11182500</v>
      </c>
      <c r="Q96" s="16"/>
      <c r="R96" s="1" t="s">
        <v>333</v>
      </c>
      <c r="S96" s="1" t="s">
        <v>593</v>
      </c>
    </row>
    <row r="97" spans="1:24" ht="14.25" customHeight="1" x14ac:dyDescent="0.3">
      <c r="A97" s="16"/>
      <c r="B97" s="14"/>
      <c r="C97" s="15"/>
      <c r="D97" s="26"/>
      <c r="E97" s="101" t="s">
        <v>220</v>
      </c>
      <c r="F97" s="96">
        <f>5%*D96</f>
        <v>12.425000000000001</v>
      </c>
      <c r="G97" s="97"/>
      <c r="H97" s="96">
        <f>SUM(F97:G97)</f>
        <v>12.425000000000001</v>
      </c>
      <c r="I97" s="97"/>
      <c r="J97" s="97"/>
      <c r="K97" s="97"/>
      <c r="L97" s="97"/>
      <c r="M97" s="97"/>
      <c r="N97" s="35"/>
      <c r="O97" s="40"/>
      <c r="P97" s="167">
        <f t="shared" si="32"/>
        <v>0</v>
      </c>
      <c r="Q97" s="16"/>
      <c r="S97" s="1" t="s">
        <v>594</v>
      </c>
    </row>
    <row r="98" spans="1:24" ht="22.5" customHeight="1" x14ac:dyDescent="0.3">
      <c r="A98" s="16"/>
      <c r="B98" s="14" t="s">
        <v>59</v>
      </c>
      <c r="C98" s="15" t="s">
        <v>21</v>
      </c>
      <c r="D98" s="18">
        <v>156.94999999999999</v>
      </c>
      <c r="E98" s="101" t="s">
        <v>203</v>
      </c>
      <c r="F98" s="145"/>
      <c r="G98" s="145">
        <v>2</v>
      </c>
      <c r="H98" s="96">
        <f t="shared" si="31"/>
        <v>2</v>
      </c>
      <c r="I98" s="97">
        <v>0</v>
      </c>
      <c r="J98" s="97"/>
      <c r="K98" s="97">
        <v>0</v>
      </c>
      <c r="L98" s="97">
        <v>3</v>
      </c>
      <c r="M98" s="97">
        <f>SUM(I98:L98)</f>
        <v>3</v>
      </c>
      <c r="N98" s="35"/>
      <c r="O98" s="36"/>
      <c r="P98" s="167">
        <f t="shared" si="32"/>
        <v>9000000</v>
      </c>
      <c r="Q98" s="16"/>
      <c r="S98" s="1" t="s">
        <v>595</v>
      </c>
    </row>
    <row r="99" spans="1:24" ht="15.75" customHeight="1" x14ac:dyDescent="0.3">
      <c r="A99" s="16"/>
      <c r="B99" s="14"/>
      <c r="C99" s="15"/>
      <c r="D99" s="18"/>
      <c r="E99" s="101" t="s">
        <v>220</v>
      </c>
      <c r="F99" s="96">
        <f>5%*D98</f>
        <v>7.8475000000000001</v>
      </c>
      <c r="G99" s="97"/>
      <c r="H99" s="96">
        <f>SUM(F99:G99)</f>
        <v>7.8475000000000001</v>
      </c>
      <c r="I99" s="97"/>
      <c r="J99" s="97"/>
      <c r="K99" s="97"/>
      <c r="L99" s="97"/>
      <c r="M99" s="97"/>
      <c r="N99" s="35"/>
      <c r="O99" s="36"/>
      <c r="P99" s="167">
        <f t="shared" si="32"/>
        <v>0</v>
      </c>
      <c r="Q99" s="16"/>
    </row>
    <row r="100" spans="1:24" ht="24" customHeight="1" x14ac:dyDescent="0.3">
      <c r="A100" s="16"/>
      <c r="B100" s="14" t="s">
        <v>60</v>
      </c>
      <c r="C100" s="15" t="s">
        <v>43</v>
      </c>
      <c r="D100" s="26">
        <v>455.8</v>
      </c>
      <c r="E100" s="101" t="s">
        <v>221</v>
      </c>
      <c r="F100" s="96">
        <f>5%*D100</f>
        <v>22.790000000000003</v>
      </c>
      <c r="G100" s="97">
        <v>0</v>
      </c>
      <c r="H100" s="96">
        <f t="shared" si="31"/>
        <v>22.790000000000003</v>
      </c>
      <c r="I100" s="97">
        <v>0</v>
      </c>
      <c r="J100" s="97"/>
      <c r="K100" s="97">
        <v>0</v>
      </c>
      <c r="L100" s="97">
        <v>2</v>
      </c>
      <c r="M100" s="97">
        <f>SUM(I100:L100)</f>
        <v>2</v>
      </c>
      <c r="N100" s="35"/>
      <c r="O100" s="36"/>
      <c r="P100" s="167">
        <f t="shared" si="32"/>
        <v>0</v>
      </c>
      <c r="Q100" s="16"/>
    </row>
    <row r="101" spans="1:24" ht="20.25" customHeight="1" x14ac:dyDescent="0.3">
      <c r="A101" s="16"/>
      <c r="B101" s="14"/>
      <c r="C101" s="15"/>
      <c r="D101" s="26"/>
      <c r="E101" s="101" t="s">
        <v>220</v>
      </c>
      <c r="F101" s="96">
        <f>5%*D100</f>
        <v>22.790000000000003</v>
      </c>
      <c r="G101" s="96">
        <f>1%*D100</f>
        <v>4.5579999999999998</v>
      </c>
      <c r="H101" s="96">
        <f>SUM(F101:G101)</f>
        <v>27.348000000000003</v>
      </c>
      <c r="I101" s="97"/>
      <c r="J101" s="97"/>
      <c r="K101" s="97"/>
      <c r="L101" s="97"/>
      <c r="M101" s="97"/>
      <c r="N101" s="35"/>
      <c r="O101" s="36"/>
      <c r="P101" s="167">
        <f t="shared" si="32"/>
        <v>20511000</v>
      </c>
      <c r="Q101" s="16"/>
    </row>
    <row r="102" spans="1:24" ht="23.25" customHeight="1" x14ac:dyDescent="0.3">
      <c r="A102" s="16"/>
      <c r="B102" s="14" t="s">
        <v>61</v>
      </c>
      <c r="C102" s="15" t="s">
        <v>44</v>
      </c>
      <c r="D102" s="26">
        <v>87.95</v>
      </c>
      <c r="E102" s="101" t="s">
        <v>203</v>
      </c>
      <c r="F102" s="26">
        <f>10%*D102</f>
        <v>8.7949999999999999</v>
      </c>
      <c r="G102" s="219">
        <v>0</v>
      </c>
      <c r="H102" s="26">
        <f t="shared" si="31"/>
        <v>8.7949999999999999</v>
      </c>
      <c r="I102" s="19">
        <v>0</v>
      </c>
      <c r="J102" s="19"/>
      <c r="K102" s="19">
        <v>2</v>
      </c>
      <c r="L102" s="19">
        <v>3</v>
      </c>
      <c r="M102" s="19">
        <f t="shared" ref="M102:M120" si="33">SUM(I102:L102)</f>
        <v>5</v>
      </c>
      <c r="N102" s="35"/>
      <c r="O102" s="36"/>
      <c r="P102" s="167">
        <f t="shared" si="32"/>
        <v>0</v>
      </c>
      <c r="Q102" s="16"/>
    </row>
    <row r="103" spans="1:24" ht="18.75" customHeight="1" x14ac:dyDescent="0.3">
      <c r="A103" s="87"/>
      <c r="B103" s="14"/>
      <c r="C103" s="15"/>
      <c r="D103" s="26"/>
      <c r="E103" s="101" t="s">
        <v>220</v>
      </c>
      <c r="F103" s="26"/>
      <c r="G103" s="220">
        <f>5%*D102</f>
        <v>4.3975</v>
      </c>
      <c r="H103" s="26">
        <f>SUM(F103:G103)</f>
        <v>4.3975</v>
      </c>
      <c r="I103" s="97">
        <v>0</v>
      </c>
      <c r="J103" s="97">
        <v>0</v>
      </c>
      <c r="K103" s="97">
        <v>0</v>
      </c>
      <c r="L103" s="97">
        <v>0</v>
      </c>
      <c r="M103" s="97">
        <f t="shared" si="33"/>
        <v>0</v>
      </c>
      <c r="N103" s="35"/>
      <c r="O103" s="36"/>
      <c r="P103" s="167">
        <f t="shared" si="32"/>
        <v>19788750</v>
      </c>
      <c r="Q103" s="16"/>
    </row>
    <row r="104" spans="1:24" ht="18.75" customHeight="1" x14ac:dyDescent="0.3">
      <c r="A104" s="75"/>
      <c r="B104" s="72" t="s">
        <v>350</v>
      </c>
      <c r="C104" s="72"/>
      <c r="D104" s="73">
        <f>SUM(D88:D103)</f>
        <v>1575.19</v>
      </c>
      <c r="E104" s="74"/>
      <c r="F104" s="73">
        <f>SUM(F80:F103)</f>
        <v>151.13419999999996</v>
      </c>
      <c r="G104" s="83">
        <f>SUM(G80:G103)</f>
        <v>47.443800000000003</v>
      </c>
      <c r="H104" s="73">
        <f>SUM(H80:H103)</f>
        <v>198.578</v>
      </c>
      <c r="I104" s="83">
        <f>SUM(I88:I103)</f>
        <v>0</v>
      </c>
      <c r="J104" s="83">
        <f>SUM(J88:J103)</f>
        <v>0</v>
      </c>
      <c r="K104" s="83">
        <f>SUM(K88:K103)</f>
        <v>9</v>
      </c>
      <c r="L104" s="83">
        <f>SUM(L88:L103)</f>
        <v>20</v>
      </c>
      <c r="M104" s="83">
        <f>SUM(M86:M103)</f>
        <v>32</v>
      </c>
      <c r="N104" s="76"/>
      <c r="O104" s="77"/>
      <c r="P104" s="168">
        <f>SUM(P93:P103)</f>
        <v>87207750</v>
      </c>
      <c r="Q104" s="75"/>
    </row>
    <row r="105" spans="1:24" ht="18.75" customHeight="1" x14ac:dyDescent="0.3">
      <c r="A105" s="222">
        <v>8</v>
      </c>
      <c r="B105" s="8" t="s">
        <v>608</v>
      </c>
      <c r="C105" s="10"/>
      <c r="D105" s="90"/>
      <c r="E105" s="67"/>
      <c r="F105" s="66"/>
      <c r="G105" s="218"/>
      <c r="H105" s="66"/>
      <c r="I105" s="82"/>
      <c r="J105" s="82"/>
      <c r="K105" s="82"/>
      <c r="L105" s="82"/>
      <c r="M105" s="82"/>
      <c r="N105" s="69"/>
      <c r="O105" s="70"/>
      <c r="P105" s="70"/>
      <c r="Q105" s="87"/>
    </row>
    <row r="106" spans="1:24" ht="18.75" customHeight="1" x14ac:dyDescent="0.3">
      <c r="A106" s="87"/>
      <c r="B106" s="14" t="s">
        <v>57</v>
      </c>
      <c r="C106" s="15" t="s">
        <v>609</v>
      </c>
      <c r="D106" s="26">
        <v>15</v>
      </c>
      <c r="E106" s="101" t="s">
        <v>611</v>
      </c>
      <c r="F106" s="96">
        <f>4%*D106</f>
        <v>0.6</v>
      </c>
      <c r="G106" s="97">
        <v>0.5</v>
      </c>
      <c r="H106" s="96">
        <f t="shared" ref="H106" si="34">SUM(F106:G106)</f>
        <v>1.1000000000000001</v>
      </c>
      <c r="I106" s="97">
        <v>0</v>
      </c>
      <c r="J106" s="97"/>
      <c r="K106" s="96">
        <v>1</v>
      </c>
      <c r="L106" s="97"/>
      <c r="M106" s="97">
        <f>SUM(I106:L106)</f>
        <v>1</v>
      </c>
      <c r="N106" s="35" t="s">
        <v>51</v>
      </c>
      <c r="O106" s="40" t="s">
        <v>133</v>
      </c>
      <c r="P106" s="167">
        <f t="shared" ref="P106:P118" si="35">G106*0.93*30%*10000000</f>
        <v>1395000.0000000002</v>
      </c>
      <c r="Q106" s="87"/>
    </row>
    <row r="107" spans="1:24" ht="18.75" customHeight="1" x14ac:dyDescent="0.3">
      <c r="A107" s="87"/>
      <c r="B107" s="14"/>
      <c r="C107" s="15"/>
      <c r="D107" s="26"/>
      <c r="E107" s="101" t="s">
        <v>612</v>
      </c>
      <c r="F107" s="96">
        <f>1%*D106</f>
        <v>0.15</v>
      </c>
      <c r="G107" s="96">
        <v>0.1</v>
      </c>
      <c r="H107" s="96">
        <f>SUM(F107:G107)</f>
        <v>0.25</v>
      </c>
      <c r="I107" s="97">
        <v>0</v>
      </c>
      <c r="J107" s="97"/>
      <c r="K107" s="96">
        <v>1</v>
      </c>
      <c r="L107" s="97"/>
      <c r="M107" s="97">
        <f>SUM(I107:L107)</f>
        <v>1</v>
      </c>
      <c r="N107" s="35"/>
      <c r="O107" s="40"/>
      <c r="P107" s="167">
        <f>G107*0.93*80%*10000000</f>
        <v>744000.00000000012</v>
      </c>
      <c r="Q107" s="87"/>
    </row>
    <row r="108" spans="1:24" ht="18.75" customHeight="1" x14ac:dyDescent="0.3">
      <c r="A108" s="87"/>
      <c r="B108" s="14" t="s">
        <v>58</v>
      </c>
      <c r="C108" s="15" t="s">
        <v>180</v>
      </c>
      <c r="D108" s="26">
        <v>12</v>
      </c>
      <c r="E108" s="101" t="s">
        <v>611</v>
      </c>
      <c r="F108" s="96">
        <f>3%*D108</f>
        <v>0.36</v>
      </c>
      <c r="G108" s="223">
        <f>2%*D108</f>
        <v>0.24</v>
      </c>
      <c r="H108" s="96">
        <f t="shared" ref="H108" si="36">SUM(F108:G108)</f>
        <v>0.6</v>
      </c>
      <c r="I108" s="97">
        <v>0</v>
      </c>
      <c r="J108" s="97"/>
      <c r="K108" s="96">
        <v>0</v>
      </c>
      <c r="L108" s="97"/>
      <c r="M108" s="97">
        <f>SUM(I108:L108)</f>
        <v>0</v>
      </c>
      <c r="N108" s="35" t="s">
        <v>51</v>
      </c>
      <c r="O108" s="40" t="s">
        <v>137</v>
      </c>
      <c r="P108" s="167">
        <f t="shared" si="35"/>
        <v>669600</v>
      </c>
      <c r="Q108" s="87"/>
    </row>
    <row r="109" spans="1:24" ht="18.75" customHeight="1" x14ac:dyDescent="0.3">
      <c r="A109" s="87"/>
      <c r="B109" s="14"/>
      <c r="C109" s="15"/>
      <c r="D109" s="26"/>
      <c r="E109" s="101" t="s">
        <v>612</v>
      </c>
      <c r="F109" s="96">
        <f>5%*D108</f>
        <v>0.60000000000000009</v>
      </c>
      <c r="G109" s="97"/>
      <c r="H109" s="96">
        <f>SUM(F109:G109)</f>
        <v>0.60000000000000009</v>
      </c>
      <c r="I109" s="97"/>
      <c r="J109" s="97"/>
      <c r="K109" s="96"/>
      <c r="L109" s="97"/>
      <c r="M109" s="97"/>
      <c r="N109" s="35" t="s">
        <v>51</v>
      </c>
      <c r="O109" s="40" t="s">
        <v>613</v>
      </c>
      <c r="P109" s="167">
        <f>G109*0.93*80%*10000000</f>
        <v>0</v>
      </c>
      <c r="Q109" s="87"/>
    </row>
    <row r="110" spans="1:24" ht="18.75" customHeight="1" x14ac:dyDescent="0.3">
      <c r="A110" s="87"/>
      <c r="B110" s="14" t="s">
        <v>59</v>
      </c>
      <c r="C110" s="15" t="s">
        <v>43</v>
      </c>
      <c r="D110" s="18">
        <v>7</v>
      </c>
      <c r="E110" s="101" t="s">
        <v>611</v>
      </c>
      <c r="F110" s="145"/>
      <c r="G110" s="145">
        <v>2</v>
      </c>
      <c r="H110" s="96">
        <f t="shared" ref="H110" si="37">SUM(F110:G110)</f>
        <v>2</v>
      </c>
      <c r="I110" s="97">
        <v>0</v>
      </c>
      <c r="J110" s="97"/>
      <c r="K110" s="96">
        <v>0</v>
      </c>
      <c r="L110" s="97"/>
      <c r="M110" s="97">
        <f>SUM(I110:L110)</f>
        <v>0</v>
      </c>
      <c r="N110" s="35"/>
      <c r="O110" s="36" t="s">
        <v>614</v>
      </c>
      <c r="P110" s="167">
        <f t="shared" si="35"/>
        <v>5580000.0000000009</v>
      </c>
      <c r="Q110" s="87"/>
      <c r="S110" s="1" t="s">
        <v>615</v>
      </c>
    </row>
    <row r="111" spans="1:24" ht="18.75" customHeight="1" x14ac:dyDescent="0.3">
      <c r="A111" s="87"/>
      <c r="B111" s="14"/>
      <c r="C111" s="15"/>
      <c r="D111" s="18"/>
      <c r="E111" s="101" t="s">
        <v>612</v>
      </c>
      <c r="F111" s="96">
        <f>5%*D110</f>
        <v>0.35000000000000003</v>
      </c>
      <c r="G111" s="97"/>
      <c r="H111" s="96">
        <f>SUM(F111:G111)</f>
        <v>0.35000000000000003</v>
      </c>
      <c r="I111" s="97"/>
      <c r="J111" s="97"/>
      <c r="K111" s="96"/>
      <c r="L111" s="97"/>
      <c r="M111" s="97"/>
      <c r="N111" s="35"/>
      <c r="O111" s="36"/>
      <c r="P111" s="167">
        <f>G111*0.93*80%*10000000</f>
        <v>0</v>
      </c>
      <c r="Q111" s="87"/>
      <c r="S111" s="1" t="s">
        <v>616</v>
      </c>
      <c r="U111" s="150" t="s">
        <v>316</v>
      </c>
      <c r="V111" s="1" t="s">
        <v>617</v>
      </c>
      <c r="W111" s="150" t="s">
        <v>316</v>
      </c>
      <c r="X111" s="1" t="s">
        <v>618</v>
      </c>
    </row>
    <row r="112" spans="1:24" ht="18.75" customHeight="1" x14ac:dyDescent="0.3">
      <c r="A112" s="87"/>
      <c r="B112" s="14" t="s">
        <v>60</v>
      </c>
      <c r="C112" s="15" t="s">
        <v>27</v>
      </c>
      <c r="D112" s="26">
        <v>2</v>
      </c>
      <c r="E112" s="101" t="s">
        <v>611</v>
      </c>
      <c r="F112" s="96">
        <f>5%*D112</f>
        <v>0.1</v>
      </c>
      <c r="G112" s="96">
        <f>1%*D112</f>
        <v>0.02</v>
      </c>
      <c r="H112" s="96">
        <f t="shared" ref="H112" si="38">SUM(F112:G112)</f>
        <v>0.12000000000000001</v>
      </c>
      <c r="I112" s="97">
        <v>0</v>
      </c>
      <c r="J112" s="97"/>
      <c r="K112" s="96">
        <v>0</v>
      </c>
      <c r="L112" s="97"/>
      <c r="M112" s="97">
        <f>SUM(I112:L112)</f>
        <v>0</v>
      </c>
      <c r="N112" s="35"/>
      <c r="O112" s="36"/>
      <c r="P112" s="167">
        <f t="shared" si="35"/>
        <v>55800.000000000007</v>
      </c>
      <c r="Q112" s="87"/>
      <c r="S112" s="1" t="s">
        <v>619</v>
      </c>
      <c r="U112" s="1" t="s">
        <v>620</v>
      </c>
      <c r="W112" s="150" t="s">
        <v>316</v>
      </c>
      <c r="X112" s="1" t="s">
        <v>621</v>
      </c>
    </row>
    <row r="113" spans="1:17" ht="18.75" customHeight="1" x14ac:dyDescent="0.3">
      <c r="A113" s="87"/>
      <c r="B113" s="14"/>
      <c r="C113" s="15"/>
      <c r="D113" s="26"/>
      <c r="E113" s="101" t="s">
        <v>612</v>
      </c>
      <c r="F113" s="96">
        <f>5%*D112</f>
        <v>0.1</v>
      </c>
      <c r="G113" s="96">
        <f>1%*D112</f>
        <v>0.02</v>
      </c>
      <c r="H113" s="96">
        <f>SUM(F113:G113)</f>
        <v>0.12000000000000001</v>
      </c>
      <c r="I113" s="97"/>
      <c r="J113" s="97"/>
      <c r="K113" s="96"/>
      <c r="L113" s="97"/>
      <c r="M113" s="97"/>
      <c r="N113" s="35"/>
      <c r="O113" s="36"/>
      <c r="P113" s="167">
        <f>G113*0.93*80%*10000000</f>
        <v>148800.00000000003</v>
      </c>
      <c r="Q113" s="87"/>
    </row>
    <row r="114" spans="1:17" ht="18.75" customHeight="1" x14ac:dyDescent="0.3">
      <c r="A114" s="87"/>
      <c r="B114" s="14" t="s">
        <v>61</v>
      </c>
      <c r="C114" s="15" t="s">
        <v>35</v>
      </c>
      <c r="D114" s="26">
        <v>11</v>
      </c>
      <c r="E114" s="101" t="s">
        <v>611</v>
      </c>
      <c r="F114" s="26">
        <f>10%*D114</f>
        <v>1.1000000000000001</v>
      </c>
      <c r="G114" s="219">
        <f>5%*D114</f>
        <v>0.55000000000000004</v>
      </c>
      <c r="H114" s="26">
        <f t="shared" ref="H114" si="39">SUM(F114:G114)</f>
        <v>1.6500000000000001</v>
      </c>
      <c r="I114" s="19">
        <v>0</v>
      </c>
      <c r="J114" s="19"/>
      <c r="K114" s="26">
        <v>1</v>
      </c>
      <c r="L114" s="19"/>
      <c r="M114" s="135">
        <f t="shared" ref="M114:M119" si="40">SUM(I114:L114)</f>
        <v>1</v>
      </c>
      <c r="N114" s="35"/>
      <c r="O114" s="36"/>
      <c r="P114" s="167">
        <f t="shared" si="35"/>
        <v>1534500</v>
      </c>
      <c r="Q114" s="87"/>
    </row>
    <row r="115" spans="1:17" ht="18.75" customHeight="1" x14ac:dyDescent="0.3">
      <c r="A115" s="87"/>
      <c r="B115" s="14"/>
      <c r="C115" s="15"/>
      <c r="D115" s="26"/>
      <c r="E115" s="101" t="s">
        <v>612</v>
      </c>
      <c r="F115" s="26"/>
      <c r="G115" s="220">
        <f>5%*D114</f>
        <v>0.55000000000000004</v>
      </c>
      <c r="H115" s="26">
        <f>SUM(F115:G115)</f>
        <v>0.55000000000000004</v>
      </c>
      <c r="I115" s="97">
        <v>0</v>
      </c>
      <c r="J115" s="97">
        <v>0</v>
      </c>
      <c r="K115" s="96"/>
      <c r="L115" s="97">
        <v>0</v>
      </c>
      <c r="M115" s="96">
        <f t="shared" si="40"/>
        <v>0</v>
      </c>
      <c r="N115" s="35"/>
      <c r="O115" s="36"/>
      <c r="P115" s="167">
        <f>G115*0.93*80%*10000000</f>
        <v>4092000.0000000005</v>
      </c>
      <c r="Q115" s="87"/>
    </row>
    <row r="116" spans="1:17" ht="18.75" customHeight="1" x14ac:dyDescent="0.3">
      <c r="A116" s="87"/>
      <c r="B116" s="55" t="s">
        <v>62</v>
      </c>
      <c r="C116" s="15" t="s">
        <v>32</v>
      </c>
      <c r="D116" s="26">
        <v>5</v>
      </c>
      <c r="E116" s="101" t="s">
        <v>611</v>
      </c>
      <c r="F116" s="26">
        <f>10%*D116</f>
        <v>0.5</v>
      </c>
      <c r="G116" s="219">
        <v>0</v>
      </c>
      <c r="H116" s="26">
        <f t="shared" ref="H116" si="41">SUM(F116:G116)</f>
        <v>0.5</v>
      </c>
      <c r="I116" s="19">
        <v>0</v>
      </c>
      <c r="J116" s="19"/>
      <c r="K116" s="26"/>
      <c r="L116" s="19"/>
      <c r="M116" s="19">
        <f t="shared" si="40"/>
        <v>0</v>
      </c>
      <c r="N116" s="35"/>
      <c r="O116" s="36"/>
      <c r="P116" s="167">
        <f t="shared" si="35"/>
        <v>0</v>
      </c>
      <c r="Q116" s="87"/>
    </row>
    <row r="117" spans="1:17" ht="18.75" customHeight="1" x14ac:dyDescent="0.3">
      <c r="A117" s="87"/>
      <c r="B117" s="55"/>
      <c r="C117" s="15"/>
      <c r="D117" s="26"/>
      <c r="E117" s="101" t="s">
        <v>612</v>
      </c>
      <c r="F117" s="26"/>
      <c r="G117" s="220">
        <f>5%*D116</f>
        <v>0.25</v>
      </c>
      <c r="H117" s="26">
        <f>SUM(F117:G117)</f>
        <v>0.25</v>
      </c>
      <c r="I117" s="97">
        <v>0</v>
      </c>
      <c r="J117" s="97">
        <v>0</v>
      </c>
      <c r="K117" s="96">
        <v>0</v>
      </c>
      <c r="L117" s="97">
        <v>0</v>
      </c>
      <c r="M117" s="97">
        <f t="shared" si="40"/>
        <v>0</v>
      </c>
      <c r="N117" s="35"/>
      <c r="O117" s="36"/>
      <c r="P117" s="167">
        <f>G117*0.93*80%*10000000</f>
        <v>1860000.0000000002</v>
      </c>
      <c r="Q117" s="87"/>
    </row>
    <row r="118" spans="1:17" ht="18.75" customHeight="1" x14ac:dyDescent="0.3">
      <c r="A118" s="87"/>
      <c r="B118" s="55" t="s">
        <v>63</v>
      </c>
      <c r="C118" s="15" t="s">
        <v>34</v>
      </c>
      <c r="D118" s="26">
        <v>28</v>
      </c>
      <c r="E118" s="101" t="s">
        <v>611</v>
      </c>
      <c r="F118" s="26">
        <f>10%*D118</f>
        <v>2.8000000000000003</v>
      </c>
      <c r="G118" s="220">
        <f>5%*D118</f>
        <v>1.4000000000000001</v>
      </c>
      <c r="H118" s="26">
        <f t="shared" ref="H118" si="42">SUM(F118:G118)</f>
        <v>4.2</v>
      </c>
      <c r="I118" s="19">
        <v>0</v>
      </c>
      <c r="J118" s="19"/>
      <c r="K118" s="26">
        <v>1</v>
      </c>
      <c r="L118" s="19"/>
      <c r="M118" s="19">
        <f t="shared" si="40"/>
        <v>1</v>
      </c>
      <c r="N118" s="35"/>
      <c r="O118" s="36"/>
      <c r="P118" s="167">
        <f t="shared" si="35"/>
        <v>3906000.0000000005</v>
      </c>
      <c r="Q118" s="87"/>
    </row>
    <row r="119" spans="1:17" ht="18.75" customHeight="1" x14ac:dyDescent="0.3">
      <c r="A119" s="87"/>
      <c r="B119" s="55"/>
      <c r="C119" s="15"/>
      <c r="D119" s="26"/>
      <c r="E119" s="101" t="s">
        <v>612</v>
      </c>
      <c r="F119" s="26"/>
      <c r="G119" s="220">
        <f>5%*D118</f>
        <v>1.4000000000000001</v>
      </c>
      <c r="H119" s="26">
        <f>SUM(F119:G119)</f>
        <v>1.4000000000000001</v>
      </c>
      <c r="I119" s="97">
        <v>0</v>
      </c>
      <c r="J119" s="97">
        <v>0</v>
      </c>
      <c r="K119" s="96">
        <v>1</v>
      </c>
      <c r="L119" s="97">
        <v>0</v>
      </c>
      <c r="M119" s="97">
        <f t="shared" si="40"/>
        <v>1</v>
      </c>
      <c r="N119" s="35"/>
      <c r="O119" s="36"/>
      <c r="P119" s="167">
        <f>G119*0.93*80%*10000000</f>
        <v>10416000.000000004</v>
      </c>
      <c r="Q119" s="87"/>
    </row>
    <row r="120" spans="1:17" ht="7.5" customHeight="1" x14ac:dyDescent="0.3">
      <c r="A120" s="87"/>
      <c r="B120" s="55"/>
      <c r="C120" s="56"/>
      <c r="D120" s="57"/>
      <c r="E120" s="132"/>
      <c r="F120" s="124"/>
      <c r="G120" s="124"/>
      <c r="H120" s="124">
        <f>SUM(F120:G120)</f>
        <v>0</v>
      </c>
      <c r="I120" s="133">
        <v>0</v>
      </c>
      <c r="J120" s="133">
        <v>0</v>
      </c>
      <c r="K120" s="124">
        <v>0</v>
      </c>
      <c r="L120" s="133">
        <v>0</v>
      </c>
      <c r="M120" s="133">
        <f t="shared" si="33"/>
        <v>0</v>
      </c>
      <c r="N120" s="80"/>
      <c r="O120" s="81"/>
      <c r="P120" s="171"/>
      <c r="Q120" s="87"/>
    </row>
    <row r="121" spans="1:17" ht="18.75" customHeight="1" x14ac:dyDescent="0.3">
      <c r="A121" s="75"/>
      <c r="B121" s="72" t="s">
        <v>610</v>
      </c>
      <c r="C121" s="72"/>
      <c r="D121" s="73">
        <f>SUM(D106:D120)</f>
        <v>80</v>
      </c>
      <c r="E121" s="74"/>
      <c r="F121" s="73">
        <f>SUM(F86:F120)</f>
        <v>293.9980000000001</v>
      </c>
      <c r="G121" s="83">
        <f>SUM(G106:G120)</f>
        <v>7.03</v>
      </c>
      <c r="H121" s="73">
        <f>SUM(H86:H120)</f>
        <v>390.75130000000007</v>
      </c>
      <c r="I121" s="83">
        <f>SUM(I94:I120)</f>
        <v>0</v>
      </c>
      <c r="J121" s="83">
        <f>SUM(J94:J120)</f>
        <v>0</v>
      </c>
      <c r="K121" s="73">
        <f>SUM(K94:K120)</f>
        <v>16</v>
      </c>
      <c r="L121" s="83">
        <f>SUM(L94:L120)</f>
        <v>40</v>
      </c>
      <c r="M121" s="83">
        <f>SUM(M93:M120)</f>
        <v>59</v>
      </c>
      <c r="N121" s="76"/>
      <c r="O121" s="77"/>
      <c r="P121" s="168">
        <f>SUM(P94:P120)</f>
        <v>204817200</v>
      </c>
      <c r="Q121" s="75"/>
    </row>
    <row r="122" spans="1:17" ht="8.25" customHeight="1" x14ac:dyDescent="0.3">
      <c r="F122" s="2"/>
      <c r="G122" s="2"/>
      <c r="H122" s="2"/>
      <c r="I122" s="2"/>
      <c r="J122" s="2"/>
      <c r="K122" s="2"/>
      <c r="L122" s="2"/>
      <c r="M122" s="2"/>
    </row>
    <row r="123" spans="1:17" ht="14.25" customHeight="1" x14ac:dyDescent="0.3">
      <c r="F123" s="2"/>
      <c r="G123" s="2"/>
      <c r="H123" s="2"/>
      <c r="I123" s="2"/>
      <c r="J123" s="2" t="s">
        <v>623</v>
      </c>
      <c r="K123" s="2"/>
      <c r="L123" s="2"/>
      <c r="M123" s="2"/>
    </row>
    <row r="124" spans="1:17" ht="12" customHeight="1" x14ac:dyDescent="0.3">
      <c r="A124" s="395" t="s">
        <v>80</v>
      </c>
      <c r="B124" s="395"/>
      <c r="C124" s="395"/>
      <c r="D124" s="395"/>
    </row>
    <row r="125" spans="1:17" x14ac:dyDescent="0.3">
      <c r="A125" s="395" t="s">
        <v>81</v>
      </c>
      <c r="B125" s="395"/>
      <c r="C125" s="395"/>
      <c r="D125" s="395"/>
      <c r="J125" s="1" t="s">
        <v>85</v>
      </c>
    </row>
    <row r="126" spans="1:17" x14ac:dyDescent="0.3">
      <c r="A126" s="395" t="s">
        <v>82</v>
      </c>
      <c r="B126" s="395"/>
      <c r="C126" s="395"/>
      <c r="D126" s="395"/>
      <c r="J126" s="3" t="s">
        <v>86</v>
      </c>
      <c r="K126" s="1" t="s">
        <v>87</v>
      </c>
      <c r="O126" s="1" t="s">
        <v>90</v>
      </c>
    </row>
    <row r="127" spans="1:17" x14ac:dyDescent="0.3">
      <c r="A127" s="395" t="s">
        <v>83</v>
      </c>
      <c r="B127" s="395"/>
      <c r="C127" s="395"/>
      <c r="D127" s="395"/>
      <c r="K127" s="1" t="s">
        <v>91</v>
      </c>
    </row>
    <row r="128" spans="1:17" ht="13.5" customHeight="1" x14ac:dyDescent="0.3"/>
    <row r="129" spans="1:15" x14ac:dyDescent="0.3">
      <c r="J129" s="3" t="s">
        <v>88</v>
      </c>
      <c r="K129" s="1" t="s">
        <v>89</v>
      </c>
      <c r="O129" s="1" t="s">
        <v>90</v>
      </c>
    </row>
    <row r="130" spans="1:15" x14ac:dyDescent="0.3">
      <c r="K130" s="1" t="s">
        <v>92</v>
      </c>
    </row>
    <row r="131" spans="1:15" x14ac:dyDescent="0.3">
      <c r="A131" s="398" t="s">
        <v>175</v>
      </c>
      <c r="B131" s="398"/>
      <c r="C131" s="398"/>
      <c r="D131" s="398"/>
    </row>
    <row r="132" spans="1:15" x14ac:dyDescent="0.3">
      <c r="A132" s="395" t="s">
        <v>190</v>
      </c>
      <c r="B132" s="395"/>
      <c r="C132" s="395"/>
      <c r="D132" s="395"/>
      <c r="J132" s="1" t="s">
        <v>254</v>
      </c>
      <c r="K132" s="1" t="s">
        <v>255</v>
      </c>
      <c r="O132" s="1" t="s">
        <v>90</v>
      </c>
    </row>
    <row r="133" spans="1:15" x14ac:dyDescent="0.3">
      <c r="K133" s="1" t="s">
        <v>256</v>
      </c>
    </row>
  </sheetData>
  <mergeCells count="21">
    <mergeCell ref="A125:D125"/>
    <mergeCell ref="A126:D126"/>
    <mergeCell ref="A127:D127"/>
    <mergeCell ref="A131:D131"/>
    <mergeCell ref="A132:D132"/>
    <mergeCell ref="A124:D124"/>
    <mergeCell ref="A1:Q1"/>
    <mergeCell ref="A2:Q2"/>
    <mergeCell ref="A6:A7"/>
    <mergeCell ref="B6:C6"/>
    <mergeCell ref="D6:D7"/>
    <mergeCell ref="E6:E7"/>
    <mergeCell ref="F6:H6"/>
    <mergeCell ref="I6:M6"/>
    <mergeCell ref="N6:O7"/>
    <mergeCell ref="P6:P7"/>
    <mergeCell ref="Q6:Q7"/>
    <mergeCell ref="B7:C7"/>
    <mergeCell ref="B24:C24"/>
    <mergeCell ref="O26:O30"/>
    <mergeCell ref="B31:C31"/>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T116"/>
  <sheetViews>
    <sheetView view="pageBreakPreview" topLeftCell="A67" zoomScale="96" zoomScaleNormal="100" zoomScaleSheetLayoutView="96" workbookViewId="0">
      <selection activeCell="G110" sqref="G110"/>
    </sheetView>
  </sheetViews>
  <sheetFormatPr defaultColWidth="9.1796875" defaultRowHeight="14" x14ac:dyDescent="0.3"/>
  <cols>
    <col min="1" max="1" width="5.26953125" style="1" customWidth="1"/>
    <col min="2" max="2" width="2.1796875" style="1" customWidth="1"/>
    <col min="3" max="3" width="17.1796875" style="1" customWidth="1"/>
    <col min="4" max="4" width="9.1796875" style="1" customWidth="1"/>
    <col min="5" max="5" width="31.26953125" style="1" customWidth="1"/>
    <col min="6" max="6" width="10" style="1" bestFit="1" customWidth="1"/>
    <col min="7" max="7" width="8.81640625" style="1" customWidth="1"/>
    <col min="8" max="8" width="9" style="1" customWidth="1"/>
    <col min="9" max="9" width="6.7265625" style="1" customWidth="1"/>
    <col min="10" max="10" width="7" style="1" customWidth="1"/>
    <col min="11" max="12" width="7.54296875" style="1" customWidth="1"/>
    <col min="13" max="13" width="6.81640625" style="1" bestFit="1" customWidth="1"/>
    <col min="14" max="14" width="2.1796875" style="1" customWidth="1"/>
    <col min="15" max="15" width="17.54296875" style="1" customWidth="1"/>
    <col min="16" max="16" width="12.54296875" style="1" customWidth="1"/>
    <col min="17" max="17" width="8.81640625" style="1" customWidth="1"/>
    <col min="18" max="19" width="9.1796875" style="1"/>
    <col min="20" max="20" width="10.7265625" style="1" customWidth="1"/>
    <col min="21" max="16384" width="9.1796875" style="1"/>
  </cols>
  <sheetData>
    <row r="1" spans="1:20" x14ac:dyDescent="0.3">
      <c r="A1" s="385" t="s">
        <v>260</v>
      </c>
      <c r="B1" s="385"/>
      <c r="C1" s="385"/>
      <c r="D1" s="385"/>
      <c r="E1" s="385"/>
      <c r="F1" s="385"/>
      <c r="G1" s="385"/>
      <c r="H1" s="385"/>
      <c r="I1" s="385"/>
      <c r="J1" s="385"/>
      <c r="K1" s="385"/>
      <c r="L1" s="385"/>
      <c r="M1" s="385"/>
      <c r="N1" s="385"/>
      <c r="O1" s="385"/>
      <c r="P1" s="385"/>
      <c r="Q1" s="385"/>
    </row>
    <row r="2" spans="1:20" ht="14.25" customHeight="1" x14ac:dyDescent="0.3">
      <c r="A2" s="385" t="s">
        <v>261</v>
      </c>
      <c r="B2" s="385"/>
      <c r="C2" s="385"/>
      <c r="D2" s="385"/>
      <c r="E2" s="385"/>
      <c r="F2" s="385"/>
      <c r="G2" s="385"/>
      <c r="H2" s="385"/>
      <c r="I2" s="385"/>
      <c r="J2" s="385"/>
      <c r="K2" s="385"/>
      <c r="L2" s="385"/>
      <c r="M2" s="385"/>
      <c r="N2" s="385"/>
      <c r="O2" s="385"/>
      <c r="P2" s="385"/>
      <c r="Q2" s="385"/>
    </row>
    <row r="3" spans="1:20" ht="14.25" customHeight="1" x14ac:dyDescent="0.3">
      <c r="A3" s="1" t="s">
        <v>1</v>
      </c>
      <c r="C3" s="1" t="s">
        <v>603</v>
      </c>
    </row>
    <row r="4" spans="1:20" ht="14.25" customHeight="1" x14ac:dyDescent="0.3">
      <c r="A4" s="1" t="s">
        <v>2</v>
      </c>
      <c r="C4" s="1" t="s">
        <v>627</v>
      </c>
      <c r="D4" s="4"/>
    </row>
    <row r="5" spans="1:20" ht="6" customHeight="1" x14ac:dyDescent="0.3"/>
    <row r="6" spans="1:20" x14ac:dyDescent="0.3">
      <c r="A6" s="386" t="s">
        <v>3</v>
      </c>
      <c r="B6" s="388" t="s">
        <v>4</v>
      </c>
      <c r="C6" s="388"/>
      <c r="D6" s="389" t="s">
        <v>259</v>
      </c>
      <c r="E6" s="391" t="s">
        <v>7</v>
      </c>
      <c r="F6" s="393" t="s">
        <v>170</v>
      </c>
      <c r="G6" s="393"/>
      <c r="H6" s="393"/>
      <c r="I6" s="393" t="s">
        <v>12</v>
      </c>
      <c r="J6" s="393"/>
      <c r="K6" s="393"/>
      <c r="L6" s="393"/>
      <c r="M6" s="393"/>
      <c r="N6" s="391" t="s">
        <v>17</v>
      </c>
      <c r="O6" s="391"/>
      <c r="P6" s="391" t="s">
        <v>258</v>
      </c>
      <c r="Q6" s="386" t="s">
        <v>192</v>
      </c>
    </row>
    <row r="7" spans="1:20" x14ac:dyDescent="0.3">
      <c r="A7" s="387"/>
      <c r="B7" s="394" t="s">
        <v>5</v>
      </c>
      <c r="C7" s="394"/>
      <c r="D7" s="390"/>
      <c r="E7" s="392"/>
      <c r="F7" s="147" t="s">
        <v>9</v>
      </c>
      <c r="G7" s="147" t="s">
        <v>10</v>
      </c>
      <c r="H7" s="147" t="s">
        <v>11</v>
      </c>
      <c r="I7" s="147" t="s">
        <v>16</v>
      </c>
      <c r="J7" s="147" t="s">
        <v>13</v>
      </c>
      <c r="K7" s="147" t="s">
        <v>14</v>
      </c>
      <c r="L7" s="148" t="s">
        <v>257</v>
      </c>
      <c r="M7" s="147" t="s">
        <v>11</v>
      </c>
      <c r="N7" s="392"/>
      <c r="O7" s="392"/>
      <c r="P7" s="392"/>
      <c r="Q7" s="387"/>
    </row>
    <row r="8" spans="1:20" ht="9" customHeight="1" x14ac:dyDescent="0.3">
      <c r="A8" s="5"/>
      <c r="B8" s="8"/>
      <c r="C8" s="10"/>
      <c r="D8" s="5"/>
      <c r="E8" s="5"/>
      <c r="F8" s="5"/>
      <c r="G8" s="5"/>
      <c r="H8" s="5"/>
      <c r="I8" s="5"/>
      <c r="J8" s="5"/>
      <c r="K8" s="5"/>
      <c r="L8" s="5"/>
      <c r="M8" s="5"/>
      <c r="N8" s="8"/>
      <c r="O8" s="10"/>
      <c r="P8" s="10"/>
      <c r="Q8" s="5"/>
    </row>
    <row r="9" spans="1:20" ht="18.75" customHeight="1" x14ac:dyDescent="0.3">
      <c r="A9" s="13">
        <v>1</v>
      </c>
      <c r="B9" s="14" t="s">
        <v>20</v>
      </c>
      <c r="C9" s="15"/>
      <c r="D9" s="16"/>
      <c r="E9" s="47"/>
      <c r="F9" s="16"/>
      <c r="G9" s="16"/>
      <c r="H9" s="16"/>
      <c r="I9" s="16"/>
      <c r="J9" s="16"/>
      <c r="K9" s="16"/>
      <c r="L9" s="16"/>
      <c r="M9" s="16"/>
      <c r="N9" s="35"/>
      <c r="O9" s="36"/>
      <c r="P9" s="226"/>
      <c r="Q9" s="16"/>
    </row>
    <row r="10" spans="1:20" ht="24" customHeight="1" x14ac:dyDescent="0.3">
      <c r="A10" s="13"/>
      <c r="B10" s="17" t="s">
        <v>57</v>
      </c>
      <c r="C10" s="15" t="s">
        <v>21</v>
      </c>
      <c r="D10" s="18">
        <v>418.06</v>
      </c>
      <c r="E10" s="47" t="s">
        <v>36</v>
      </c>
      <c r="F10" s="26">
        <f>3%*D10</f>
        <v>12.5418</v>
      </c>
      <c r="G10" s="26">
        <f>1%*D10</f>
        <v>4.1806000000000001</v>
      </c>
      <c r="H10" s="26">
        <f>SUM(F10:G10)</f>
        <v>16.7224</v>
      </c>
      <c r="I10" s="19">
        <v>0</v>
      </c>
      <c r="J10" s="19"/>
      <c r="K10" s="19">
        <v>3</v>
      </c>
      <c r="L10" s="19">
        <v>4</v>
      </c>
      <c r="M10" s="20">
        <f>SUM(I10:L10)</f>
        <v>7</v>
      </c>
      <c r="N10" s="37"/>
      <c r="O10" s="36"/>
      <c r="P10" s="227">
        <f t="shared" ref="P10:P23" si="0">G10*0.261*12%*0</f>
        <v>0</v>
      </c>
      <c r="Q10" s="16"/>
      <c r="S10" s="1" t="s">
        <v>333</v>
      </c>
      <c r="T10" s="1" t="s">
        <v>341</v>
      </c>
    </row>
    <row r="11" spans="1:20" ht="18.75" customHeight="1" x14ac:dyDescent="0.3">
      <c r="A11" s="13"/>
      <c r="B11" s="14"/>
      <c r="C11" s="15"/>
      <c r="D11" s="18"/>
      <c r="E11" s="47" t="s">
        <v>37</v>
      </c>
      <c r="F11" s="26">
        <f>2%*D10</f>
        <v>8.3612000000000002</v>
      </c>
      <c r="G11" s="26">
        <v>2</v>
      </c>
      <c r="H11" s="26">
        <f>SUM(F11:G11)</f>
        <v>10.3612</v>
      </c>
      <c r="I11" s="19">
        <v>0</v>
      </c>
      <c r="J11" s="19"/>
      <c r="K11" s="19"/>
      <c r="L11" s="19">
        <v>3</v>
      </c>
      <c r="M11" s="20">
        <f t="shared" ref="M11:M23" si="1">SUM(I11:L11)</f>
        <v>3</v>
      </c>
      <c r="N11" s="37" t="s">
        <v>51</v>
      </c>
      <c r="O11" s="38" t="s">
        <v>50</v>
      </c>
      <c r="P11" s="227">
        <f t="shared" si="0"/>
        <v>0</v>
      </c>
      <c r="Q11" s="16"/>
    </row>
    <row r="12" spans="1:20" ht="18.75" customHeight="1" x14ac:dyDescent="0.3">
      <c r="A12" s="13"/>
      <c r="B12" s="14"/>
      <c r="C12" s="15"/>
      <c r="D12" s="18"/>
      <c r="E12" s="47" t="s">
        <v>38</v>
      </c>
      <c r="F12" s="26">
        <f>1%*D10</f>
        <v>4.1806000000000001</v>
      </c>
      <c r="G12" s="26">
        <v>4</v>
      </c>
      <c r="H12" s="26">
        <f>SUM(F12:G12)</f>
        <v>8.1806000000000001</v>
      </c>
      <c r="I12" s="19">
        <v>0</v>
      </c>
      <c r="J12" s="19"/>
      <c r="K12" s="19">
        <v>3</v>
      </c>
      <c r="L12" s="19">
        <v>4</v>
      </c>
      <c r="M12" s="20">
        <f t="shared" si="1"/>
        <v>7</v>
      </c>
      <c r="N12" s="37" t="s">
        <v>51</v>
      </c>
      <c r="O12" s="36" t="s">
        <v>632</v>
      </c>
      <c r="P12" s="227">
        <f t="shared" si="0"/>
        <v>0</v>
      </c>
      <c r="Q12" s="16"/>
      <c r="S12" s="1" t="s">
        <v>343</v>
      </c>
    </row>
    <row r="13" spans="1:20" ht="28.5" customHeight="1" x14ac:dyDescent="0.3">
      <c r="A13" s="13"/>
      <c r="B13" s="14"/>
      <c r="C13" s="15"/>
      <c r="D13" s="18"/>
      <c r="E13" s="48" t="s">
        <v>39</v>
      </c>
      <c r="F13" s="96">
        <f>10%*D10</f>
        <v>41.806000000000004</v>
      </c>
      <c r="G13" s="96">
        <v>4</v>
      </c>
      <c r="H13" s="96">
        <f>SUM(F13:G13)</f>
        <v>45.806000000000004</v>
      </c>
      <c r="I13" s="97">
        <v>0</v>
      </c>
      <c r="J13" s="97">
        <v>0</v>
      </c>
      <c r="K13" s="97">
        <v>0</v>
      </c>
      <c r="L13" s="97">
        <v>3</v>
      </c>
      <c r="M13" s="121">
        <f t="shared" si="1"/>
        <v>3</v>
      </c>
      <c r="N13" s="39" t="s">
        <v>51</v>
      </c>
      <c r="O13" s="40" t="s">
        <v>48</v>
      </c>
      <c r="P13" s="227">
        <f t="shared" si="0"/>
        <v>0</v>
      </c>
      <c r="Q13" s="16"/>
      <c r="S13" s="1" t="s">
        <v>342</v>
      </c>
    </row>
    <row r="14" spans="1:20" ht="18.75" customHeight="1" x14ac:dyDescent="0.3">
      <c r="A14" s="13"/>
      <c r="B14" s="17" t="s">
        <v>58</v>
      </c>
      <c r="C14" s="15" t="s">
        <v>22</v>
      </c>
      <c r="D14" s="18">
        <v>827.82</v>
      </c>
      <c r="E14" s="47" t="s">
        <v>36</v>
      </c>
      <c r="F14" s="26">
        <f>4%*D14</f>
        <v>33.1128</v>
      </c>
      <c r="G14" s="26">
        <v>5</v>
      </c>
      <c r="H14" s="26">
        <f>SUM(F14:G14)</f>
        <v>38.1128</v>
      </c>
      <c r="I14" s="19">
        <v>0</v>
      </c>
      <c r="J14" s="19"/>
      <c r="K14" s="19">
        <v>5</v>
      </c>
      <c r="L14" s="19">
        <v>5</v>
      </c>
      <c r="M14" s="20">
        <f t="shared" si="1"/>
        <v>10</v>
      </c>
      <c r="N14" s="35" t="s">
        <v>51</v>
      </c>
      <c r="O14" s="41" t="s">
        <v>137</v>
      </c>
      <c r="P14" s="227">
        <f t="shared" si="0"/>
        <v>0</v>
      </c>
      <c r="Q14" s="16"/>
    </row>
    <row r="15" spans="1:20" ht="18.75" customHeight="1" x14ac:dyDescent="0.3">
      <c r="A15" s="13"/>
      <c r="B15" s="14"/>
      <c r="C15" s="15"/>
      <c r="D15" s="26"/>
      <c r="E15" s="47" t="s">
        <v>37</v>
      </c>
      <c r="F15" s="26">
        <f>4%*D14</f>
        <v>33.1128</v>
      </c>
      <c r="G15" s="26">
        <v>3</v>
      </c>
      <c r="H15" s="26">
        <f t="shared" ref="H15:H17" si="2">SUM(F15:G15)</f>
        <v>36.1128</v>
      </c>
      <c r="I15" s="19">
        <v>0</v>
      </c>
      <c r="J15" s="19"/>
      <c r="K15" s="19">
        <v>5</v>
      </c>
      <c r="L15" s="19">
        <v>5</v>
      </c>
      <c r="M15" s="20">
        <f t="shared" si="1"/>
        <v>10</v>
      </c>
      <c r="N15" s="35"/>
      <c r="O15" s="36"/>
      <c r="P15" s="227">
        <f t="shared" si="0"/>
        <v>0</v>
      </c>
      <c r="Q15" s="16"/>
      <c r="S15" s="1" t="s">
        <v>344</v>
      </c>
    </row>
    <row r="16" spans="1:20" ht="18.75" customHeight="1" x14ac:dyDescent="0.3">
      <c r="A16" s="13"/>
      <c r="B16" s="14"/>
      <c r="C16" s="15"/>
      <c r="D16" s="26"/>
      <c r="E16" s="47" t="s">
        <v>38</v>
      </c>
      <c r="F16" s="26">
        <f>3%*D14</f>
        <v>24.834600000000002</v>
      </c>
      <c r="G16" s="26">
        <v>4</v>
      </c>
      <c r="H16" s="26">
        <f t="shared" si="2"/>
        <v>28.834600000000002</v>
      </c>
      <c r="I16" s="19">
        <v>0</v>
      </c>
      <c r="J16" s="19"/>
      <c r="K16" s="19">
        <v>5</v>
      </c>
      <c r="L16" s="19">
        <v>3</v>
      </c>
      <c r="M16" s="20">
        <f t="shared" si="1"/>
        <v>8</v>
      </c>
      <c r="N16" s="35"/>
      <c r="O16" s="36"/>
      <c r="P16" s="227">
        <f t="shared" si="0"/>
        <v>0</v>
      </c>
      <c r="Q16" s="16"/>
      <c r="S16" s="1" t="s">
        <v>345</v>
      </c>
    </row>
    <row r="17" spans="1:19" ht="29.25" customHeight="1" x14ac:dyDescent="0.3">
      <c r="A17" s="54"/>
      <c r="B17" s="55"/>
      <c r="C17" s="56"/>
      <c r="D17" s="57"/>
      <c r="E17" s="58" t="s">
        <v>39</v>
      </c>
      <c r="F17" s="119">
        <f>5%*D14</f>
        <v>41.391000000000005</v>
      </c>
      <c r="G17" s="119">
        <f>5%*D14</f>
        <v>41.391000000000005</v>
      </c>
      <c r="H17" s="119">
        <f t="shared" si="2"/>
        <v>82.782000000000011</v>
      </c>
      <c r="I17" s="59">
        <v>0</v>
      </c>
      <c r="J17" s="59">
        <v>0</v>
      </c>
      <c r="K17" s="59">
        <v>0</v>
      </c>
      <c r="L17" s="59">
        <v>4</v>
      </c>
      <c r="M17" s="60">
        <f t="shared" si="1"/>
        <v>4</v>
      </c>
      <c r="N17" s="42"/>
      <c r="O17" s="38"/>
      <c r="P17" s="228">
        <f t="shared" si="0"/>
        <v>0</v>
      </c>
      <c r="Q17" s="29"/>
    </row>
    <row r="18" spans="1:19" ht="18.75" customHeight="1" x14ac:dyDescent="0.3">
      <c r="A18" s="54"/>
      <c r="B18" s="55" t="s">
        <v>59</v>
      </c>
      <c r="C18" s="56" t="s">
        <v>27</v>
      </c>
      <c r="D18" s="18">
        <v>113.45</v>
      </c>
      <c r="E18" s="47" t="s">
        <v>36</v>
      </c>
      <c r="F18" s="26">
        <f>40%*D18</f>
        <v>45.38</v>
      </c>
      <c r="G18" s="26">
        <v>3</v>
      </c>
      <c r="H18" s="26">
        <f>SUM(F18:G18)</f>
        <v>48.38</v>
      </c>
      <c r="I18" s="19">
        <v>0</v>
      </c>
      <c r="J18" s="19"/>
      <c r="K18" s="19">
        <v>2</v>
      </c>
      <c r="L18" s="19"/>
      <c r="M18" s="20">
        <f t="shared" si="1"/>
        <v>2</v>
      </c>
      <c r="N18" s="42"/>
      <c r="O18" s="38"/>
      <c r="P18" s="227">
        <f t="shared" si="0"/>
        <v>0</v>
      </c>
      <c r="Q18" s="29"/>
    </row>
    <row r="19" spans="1:19" ht="19.5" customHeight="1" x14ac:dyDescent="0.3">
      <c r="A19" s="54"/>
      <c r="B19" s="55"/>
      <c r="C19" s="56"/>
      <c r="D19" s="26"/>
      <c r="E19" s="47" t="s">
        <v>37</v>
      </c>
      <c r="F19" s="26">
        <f>3%*D18</f>
        <v>3.4034999999999997</v>
      </c>
      <c r="G19" s="26">
        <v>2</v>
      </c>
      <c r="H19" s="26">
        <f t="shared" ref="H19:H20" si="3">SUM(F19:G19)</f>
        <v>5.4034999999999993</v>
      </c>
      <c r="I19" s="19">
        <v>0</v>
      </c>
      <c r="J19" s="19"/>
      <c r="K19" s="19">
        <v>2</v>
      </c>
      <c r="L19" s="19">
        <v>1</v>
      </c>
      <c r="M19" s="20">
        <f t="shared" si="1"/>
        <v>3</v>
      </c>
      <c r="N19" s="42"/>
      <c r="O19" s="38"/>
      <c r="P19" s="227">
        <f t="shared" si="0"/>
        <v>0</v>
      </c>
      <c r="Q19" s="29"/>
    </row>
    <row r="20" spans="1:19" ht="18.75" customHeight="1" x14ac:dyDescent="0.3">
      <c r="A20" s="54"/>
      <c r="B20" s="55"/>
      <c r="C20" s="56"/>
      <c r="D20" s="26"/>
      <c r="E20" s="47" t="s">
        <v>38</v>
      </c>
      <c r="F20" s="26">
        <f>2%*D18</f>
        <v>2.2690000000000001</v>
      </c>
      <c r="G20" s="26">
        <f>10%*D18</f>
        <v>11.345000000000001</v>
      </c>
      <c r="H20" s="26">
        <f t="shared" si="3"/>
        <v>13.614000000000001</v>
      </c>
      <c r="I20" s="19">
        <v>0</v>
      </c>
      <c r="J20" s="19"/>
      <c r="K20" s="19">
        <v>4</v>
      </c>
      <c r="L20" s="19">
        <v>1</v>
      </c>
      <c r="M20" s="20">
        <f t="shared" si="1"/>
        <v>5</v>
      </c>
      <c r="N20" s="42"/>
      <c r="O20" s="38"/>
      <c r="P20" s="227">
        <f t="shared" si="0"/>
        <v>0</v>
      </c>
      <c r="Q20" s="29"/>
    </row>
    <row r="21" spans="1:19" ht="18.75" customHeight="1" x14ac:dyDescent="0.3">
      <c r="A21" s="13"/>
      <c r="B21" s="17" t="s">
        <v>60</v>
      </c>
      <c r="C21" s="15" t="s">
        <v>42</v>
      </c>
      <c r="D21" s="18">
        <v>526.28</v>
      </c>
      <c r="E21" s="47" t="s">
        <v>36</v>
      </c>
      <c r="F21" s="26">
        <f>40%*D18</f>
        <v>45.38</v>
      </c>
      <c r="G21" s="26">
        <f>5%*D21</f>
        <v>26.314</v>
      </c>
      <c r="H21" s="26">
        <f>SUM(F21:G21)</f>
        <v>71.694000000000003</v>
      </c>
      <c r="I21" s="19">
        <v>0</v>
      </c>
      <c r="J21" s="19"/>
      <c r="K21" s="19"/>
      <c r="L21" s="19">
        <v>4</v>
      </c>
      <c r="M21" s="20">
        <f t="shared" si="1"/>
        <v>4</v>
      </c>
      <c r="N21" s="35"/>
      <c r="O21" s="36"/>
      <c r="P21" s="227">
        <f t="shared" si="0"/>
        <v>0</v>
      </c>
      <c r="Q21" s="29"/>
    </row>
    <row r="22" spans="1:19" ht="18.75" customHeight="1" x14ac:dyDescent="0.3">
      <c r="A22" s="13"/>
      <c r="B22" s="14"/>
      <c r="C22" s="15"/>
      <c r="D22" s="26"/>
      <c r="E22" s="47" t="s">
        <v>37</v>
      </c>
      <c r="F22" s="26">
        <f>40%*D21</f>
        <v>210.512</v>
      </c>
      <c r="G22" s="26">
        <f>3%*D21</f>
        <v>15.788399999999999</v>
      </c>
      <c r="H22" s="26">
        <f t="shared" ref="H22:H23" si="4">SUM(F22:G22)</f>
        <v>226.3004</v>
      </c>
      <c r="I22" s="19">
        <v>0</v>
      </c>
      <c r="J22" s="19"/>
      <c r="K22" s="19"/>
      <c r="L22" s="19">
        <v>4</v>
      </c>
      <c r="M22" s="20">
        <f t="shared" si="1"/>
        <v>4</v>
      </c>
      <c r="N22" s="35"/>
      <c r="O22" s="36"/>
      <c r="P22" s="227">
        <f t="shared" si="0"/>
        <v>0</v>
      </c>
      <c r="Q22" s="29"/>
    </row>
    <row r="23" spans="1:19" ht="18.75" customHeight="1" x14ac:dyDescent="0.3">
      <c r="A23" s="13"/>
      <c r="B23" s="14"/>
      <c r="C23" s="15"/>
      <c r="D23" s="26"/>
      <c r="E23" s="47" t="s">
        <v>38</v>
      </c>
      <c r="F23" s="26">
        <f>1%*D21</f>
        <v>5.2627999999999995</v>
      </c>
      <c r="G23" s="26">
        <f>15%*D21</f>
        <v>78.941999999999993</v>
      </c>
      <c r="H23" s="26">
        <f t="shared" si="4"/>
        <v>84.204799999999992</v>
      </c>
      <c r="I23" s="19">
        <v>0</v>
      </c>
      <c r="J23" s="19"/>
      <c r="K23" s="19"/>
      <c r="L23" s="19">
        <v>3</v>
      </c>
      <c r="M23" s="20">
        <f t="shared" si="1"/>
        <v>3</v>
      </c>
      <c r="N23" s="80"/>
      <c r="O23" s="81"/>
      <c r="P23" s="227">
        <f t="shared" si="0"/>
        <v>0</v>
      </c>
      <c r="Q23" s="88"/>
    </row>
    <row r="24" spans="1:19" ht="18.75" customHeight="1" x14ac:dyDescent="0.3">
      <c r="A24" s="89"/>
      <c r="B24" s="402" t="s">
        <v>325</v>
      </c>
      <c r="C24" s="403"/>
      <c r="D24" s="73">
        <f>SUM(D9:D17)</f>
        <v>1245.8800000000001</v>
      </c>
      <c r="E24" s="74"/>
      <c r="F24" s="118">
        <f>SUM(F9:F17)</f>
        <v>199.3408</v>
      </c>
      <c r="G24" s="118">
        <f>SUM(G9:G17)</f>
        <v>67.571600000000004</v>
      </c>
      <c r="H24" s="118">
        <f>SUM(H9:H17)</f>
        <v>266.91239999999999</v>
      </c>
      <c r="I24" s="75">
        <f>SUM(I9:I17)</f>
        <v>0</v>
      </c>
      <c r="J24" s="75">
        <f>SUM(J9:J17)</f>
        <v>0</v>
      </c>
      <c r="K24" s="75">
        <f>SUM(K8:K23)</f>
        <v>29</v>
      </c>
      <c r="L24" s="160">
        <f>SUM(L10:L23)</f>
        <v>44</v>
      </c>
      <c r="M24" s="75">
        <f>SUM(M9:M17)</f>
        <v>52</v>
      </c>
      <c r="N24" s="76"/>
      <c r="O24" s="77"/>
      <c r="P24" s="229">
        <f>SUM(P10:P23)</f>
        <v>0</v>
      </c>
      <c r="Q24" s="75"/>
    </row>
    <row r="25" spans="1:19" ht="18.75" customHeight="1" x14ac:dyDescent="0.3">
      <c r="A25" s="63">
        <v>2</v>
      </c>
      <c r="B25" s="64" t="s">
        <v>23</v>
      </c>
      <c r="C25" s="65"/>
      <c r="D25" s="66"/>
      <c r="E25" s="67"/>
      <c r="F25" s="68"/>
      <c r="G25" s="68"/>
      <c r="H25" s="68"/>
      <c r="I25" s="68"/>
      <c r="J25" s="68"/>
      <c r="K25" s="68"/>
      <c r="L25" s="68"/>
      <c r="M25" s="68"/>
      <c r="N25" s="69"/>
      <c r="O25" s="70"/>
      <c r="P25" s="230"/>
      <c r="Q25" s="68"/>
    </row>
    <row r="26" spans="1:19" ht="18.75" customHeight="1" x14ac:dyDescent="0.3">
      <c r="A26" s="13"/>
      <c r="B26" s="14" t="s">
        <v>57</v>
      </c>
      <c r="C26" s="15" t="s">
        <v>22</v>
      </c>
      <c r="D26" s="26">
        <v>202.18</v>
      </c>
      <c r="E26" s="47" t="s">
        <v>629</v>
      </c>
      <c r="F26" s="19">
        <f>25*D26</f>
        <v>5054.5</v>
      </c>
      <c r="G26" s="19"/>
      <c r="H26" s="19">
        <f t="shared" ref="H26" si="5">SUM(F26:G26)</f>
        <v>5054.5</v>
      </c>
      <c r="I26" s="19">
        <v>0</v>
      </c>
      <c r="J26" s="19">
        <v>0</v>
      </c>
      <c r="K26" s="19">
        <v>0</v>
      </c>
      <c r="L26" s="19">
        <v>2</v>
      </c>
      <c r="M26" s="20">
        <f t="shared" ref="M26:M29" si="6">SUM(I26:L26)</f>
        <v>2</v>
      </c>
      <c r="N26" s="37" t="s">
        <v>51</v>
      </c>
      <c r="O26" s="404" t="s">
        <v>633</v>
      </c>
      <c r="P26" s="231">
        <f>G26*0.52*20%*0</f>
        <v>0</v>
      </c>
      <c r="Q26" s="16"/>
    </row>
    <row r="27" spans="1:19" ht="18.75" customHeight="1" x14ac:dyDescent="0.3">
      <c r="A27" s="54"/>
      <c r="B27" s="55" t="s">
        <v>58</v>
      </c>
      <c r="C27" s="56" t="s">
        <v>42</v>
      </c>
      <c r="D27" s="57">
        <v>55</v>
      </c>
      <c r="E27" s="47" t="s">
        <v>629</v>
      </c>
      <c r="F27" s="19">
        <f>10%*D27</f>
        <v>5.5</v>
      </c>
      <c r="G27" s="19"/>
      <c r="H27" s="19">
        <f t="shared" ref="H27" si="7">SUM(F27:G27)</f>
        <v>5.5</v>
      </c>
      <c r="I27" s="19">
        <v>0</v>
      </c>
      <c r="J27" s="19"/>
      <c r="K27" s="19">
        <v>0</v>
      </c>
      <c r="L27" s="19">
        <v>0</v>
      </c>
      <c r="M27" s="20">
        <f t="shared" si="6"/>
        <v>0</v>
      </c>
      <c r="N27" s="37"/>
      <c r="O27" s="404"/>
      <c r="P27" s="231">
        <f>G27*0.52*20%*0</f>
        <v>0</v>
      </c>
      <c r="Q27" s="16"/>
      <c r="R27" s="1" t="s">
        <v>333</v>
      </c>
      <c r="S27" s="1" t="s">
        <v>334</v>
      </c>
    </row>
    <row r="28" spans="1:19" ht="18.75" customHeight="1" x14ac:dyDescent="0.3">
      <c r="A28" s="54"/>
      <c r="B28" s="55"/>
      <c r="C28" s="56"/>
      <c r="D28" s="57"/>
      <c r="E28" s="85" t="s">
        <v>630</v>
      </c>
      <c r="F28" s="224">
        <f>0.5%*D27</f>
        <v>0.27500000000000002</v>
      </c>
      <c r="G28" s="224">
        <f>1.2%*D27</f>
        <v>0.66</v>
      </c>
      <c r="H28" s="79">
        <f>F28+G28</f>
        <v>0.93500000000000005</v>
      </c>
      <c r="I28" s="19">
        <v>0</v>
      </c>
      <c r="J28" s="19"/>
      <c r="K28" s="19"/>
      <c r="L28" s="19">
        <v>1</v>
      </c>
      <c r="M28" s="20">
        <f t="shared" si="6"/>
        <v>1</v>
      </c>
      <c r="N28" s="37"/>
      <c r="O28" s="404"/>
      <c r="P28" s="231">
        <f>G28*0.52*15%*0</f>
        <v>0</v>
      </c>
      <c r="Q28" s="16"/>
    </row>
    <row r="29" spans="1:19" ht="18.75" customHeight="1" x14ac:dyDescent="0.3">
      <c r="A29" s="54"/>
      <c r="B29" s="55" t="s">
        <v>59</v>
      </c>
      <c r="C29" s="56" t="s">
        <v>21</v>
      </c>
      <c r="D29" s="57">
        <v>66.94</v>
      </c>
      <c r="E29" s="47" t="s">
        <v>629</v>
      </c>
      <c r="F29" s="19">
        <f>5%*D29</f>
        <v>3.347</v>
      </c>
      <c r="G29" s="19"/>
      <c r="H29" s="19">
        <f>F29+G29</f>
        <v>3.347</v>
      </c>
      <c r="I29" s="19">
        <v>0</v>
      </c>
      <c r="J29" s="19">
        <v>0</v>
      </c>
      <c r="K29" s="19">
        <v>0</v>
      </c>
      <c r="L29" s="19">
        <v>2</v>
      </c>
      <c r="M29" s="20">
        <f t="shared" si="6"/>
        <v>2</v>
      </c>
      <c r="N29" s="95"/>
      <c r="O29" s="399"/>
      <c r="P29" s="231">
        <f>G29*0.52*20%*0</f>
        <v>0</v>
      </c>
      <c r="Q29" s="87"/>
    </row>
    <row r="30" spans="1:19" ht="18.75" customHeight="1" x14ac:dyDescent="0.3">
      <c r="A30" s="89"/>
      <c r="B30" s="402" t="s">
        <v>326</v>
      </c>
      <c r="C30" s="403"/>
      <c r="D30" s="73">
        <f>SUM(D25:D29)</f>
        <v>324.12</v>
      </c>
      <c r="E30" s="74"/>
      <c r="F30" s="83">
        <f t="shared" ref="F30:K30" si="8">SUM(F25:F29)</f>
        <v>5063.6219999999994</v>
      </c>
      <c r="G30" s="83">
        <f t="shared" si="8"/>
        <v>0.66</v>
      </c>
      <c r="H30" s="83">
        <f t="shared" si="8"/>
        <v>5064.2820000000002</v>
      </c>
      <c r="I30" s="83">
        <f t="shared" si="8"/>
        <v>0</v>
      </c>
      <c r="J30" s="83">
        <f t="shared" si="8"/>
        <v>0</v>
      </c>
      <c r="K30" s="83">
        <f t="shared" si="8"/>
        <v>0</v>
      </c>
      <c r="L30" s="83">
        <f>SUM(L26:L29)</f>
        <v>5</v>
      </c>
      <c r="M30" s="83">
        <f>SUM(M25:M29)</f>
        <v>5</v>
      </c>
      <c r="N30" s="76"/>
      <c r="O30" s="77"/>
      <c r="P30" s="232"/>
      <c r="Q30" s="75"/>
    </row>
    <row r="31" spans="1:19" ht="18.75" customHeight="1" x14ac:dyDescent="0.3">
      <c r="A31" s="63">
        <v>3</v>
      </c>
      <c r="B31" s="64" t="s">
        <v>19</v>
      </c>
      <c r="C31" s="65"/>
      <c r="D31" s="66"/>
      <c r="E31" s="67"/>
      <c r="F31" s="82"/>
      <c r="G31" s="82"/>
      <c r="H31" s="82"/>
      <c r="I31" s="82"/>
      <c r="J31" s="82"/>
      <c r="K31" s="82"/>
      <c r="L31" s="82"/>
      <c r="M31" s="82"/>
      <c r="N31" s="69"/>
      <c r="O31" s="70"/>
      <c r="P31" s="233"/>
      <c r="Q31" s="68"/>
    </row>
    <row r="32" spans="1:19" ht="15.75" customHeight="1" x14ac:dyDescent="0.3">
      <c r="A32" s="13"/>
      <c r="B32" s="14" t="s">
        <v>57</v>
      </c>
      <c r="C32" s="15" t="s">
        <v>24</v>
      </c>
      <c r="D32" s="26">
        <f>1372.4+494</f>
        <v>1866.4</v>
      </c>
      <c r="E32" s="50" t="s">
        <v>52</v>
      </c>
      <c r="F32" s="19">
        <f t="shared" ref="F32:F37" si="9">5%*D32</f>
        <v>93.320000000000007</v>
      </c>
      <c r="G32" s="26">
        <f>45%*D32</f>
        <v>839.88000000000011</v>
      </c>
      <c r="H32" s="26">
        <f>SUM(F32:G32)</f>
        <v>933.20000000000016</v>
      </c>
      <c r="I32" s="19">
        <v>0</v>
      </c>
      <c r="J32" s="19"/>
      <c r="K32" s="19"/>
      <c r="L32" s="19">
        <v>2</v>
      </c>
      <c r="M32" s="19">
        <f>SUM(I32:L32)</f>
        <v>2</v>
      </c>
      <c r="N32" s="35" t="s">
        <v>262</v>
      </c>
      <c r="O32" s="36"/>
      <c r="P32" s="234">
        <f t="shared" ref="P32:P61" si="10">G32*0.815*26%*4000000</f>
        <v>711882288</v>
      </c>
      <c r="Q32" s="16"/>
    </row>
    <row r="33" spans="1:17" ht="15" customHeight="1" x14ac:dyDescent="0.3">
      <c r="A33" s="13"/>
      <c r="B33" s="14"/>
      <c r="C33" s="15"/>
      <c r="D33" s="26"/>
      <c r="E33" s="47" t="s">
        <v>624</v>
      </c>
      <c r="F33" s="19">
        <f t="shared" si="9"/>
        <v>0</v>
      </c>
      <c r="G33" s="26">
        <f>15%*D32</f>
        <v>279.95999999999998</v>
      </c>
      <c r="H33" s="26">
        <f>F33+G33</f>
        <v>279.95999999999998</v>
      </c>
      <c r="I33" s="19">
        <v>0</v>
      </c>
      <c r="J33" s="19"/>
      <c r="K33" s="19">
        <v>0</v>
      </c>
      <c r="L33" s="19">
        <v>4</v>
      </c>
      <c r="M33" s="19">
        <f>SUM(I33:L33)</f>
        <v>4</v>
      </c>
      <c r="N33" s="35" t="s">
        <v>263</v>
      </c>
      <c r="O33" s="36"/>
      <c r="P33" s="234">
        <f t="shared" si="10"/>
        <v>237294095.99999997</v>
      </c>
      <c r="Q33" s="16"/>
    </row>
    <row r="34" spans="1:17" ht="18.75" customHeight="1" x14ac:dyDescent="0.3">
      <c r="A34" s="13"/>
      <c r="B34" s="14" t="s">
        <v>58</v>
      </c>
      <c r="C34" s="15" t="s">
        <v>25</v>
      </c>
      <c r="D34" s="26">
        <f>994.7+363.2</f>
        <v>1357.9</v>
      </c>
      <c r="E34" s="50" t="s">
        <v>52</v>
      </c>
      <c r="F34" s="19">
        <f t="shared" si="9"/>
        <v>67.89500000000001</v>
      </c>
      <c r="G34" s="26">
        <f>10%*D34</f>
        <v>135.79000000000002</v>
      </c>
      <c r="H34" s="26">
        <f t="shared" ref="H34:H61" si="11">SUM(F34:G34)</f>
        <v>203.68500000000003</v>
      </c>
      <c r="I34" s="19">
        <v>0</v>
      </c>
      <c r="J34" s="19"/>
      <c r="K34" s="19">
        <v>0</v>
      </c>
      <c r="L34" s="19">
        <v>0</v>
      </c>
      <c r="M34" s="19">
        <f t="shared" ref="M34:M61" si="12">SUM(I34:L34)</f>
        <v>0</v>
      </c>
      <c r="N34" s="35" t="s">
        <v>264</v>
      </c>
      <c r="O34" s="36"/>
      <c r="P34" s="234">
        <f t="shared" si="10"/>
        <v>115095604.00000001</v>
      </c>
      <c r="Q34" s="16"/>
    </row>
    <row r="35" spans="1:17" ht="17.25" customHeight="1" x14ac:dyDescent="0.3">
      <c r="A35" s="13"/>
      <c r="B35" s="14" t="s">
        <v>59</v>
      </c>
      <c r="C35" s="15" t="s">
        <v>26</v>
      </c>
      <c r="D35" s="26">
        <f>976.5+338</f>
        <v>1314.5</v>
      </c>
      <c r="E35" s="50" t="s">
        <v>52</v>
      </c>
      <c r="F35" s="19">
        <f t="shared" si="9"/>
        <v>65.725000000000009</v>
      </c>
      <c r="G35" s="26">
        <f>18%*D35</f>
        <v>236.60999999999999</v>
      </c>
      <c r="H35" s="26">
        <f t="shared" si="11"/>
        <v>302.33499999999998</v>
      </c>
      <c r="I35" s="19"/>
      <c r="J35" s="19"/>
      <c r="K35" s="19">
        <v>5</v>
      </c>
      <c r="L35" s="19">
        <v>5</v>
      </c>
      <c r="M35" s="19">
        <f t="shared" si="12"/>
        <v>10</v>
      </c>
      <c r="N35" s="35"/>
      <c r="O35" s="36"/>
      <c r="P35" s="234">
        <f t="shared" si="10"/>
        <v>200550636</v>
      </c>
      <c r="Q35" s="16"/>
    </row>
    <row r="36" spans="1:17" ht="17.25" customHeight="1" x14ac:dyDescent="0.3">
      <c r="A36" s="13"/>
      <c r="B36" s="14"/>
      <c r="C36" s="15"/>
      <c r="D36" s="26"/>
      <c r="E36" s="47" t="s">
        <v>624</v>
      </c>
      <c r="F36" s="19">
        <f t="shared" si="9"/>
        <v>0</v>
      </c>
      <c r="G36" s="26">
        <f>15%*D35</f>
        <v>197.17499999999998</v>
      </c>
      <c r="H36" s="26">
        <f>F36+G36</f>
        <v>197.17499999999998</v>
      </c>
      <c r="I36" s="19">
        <v>0</v>
      </c>
      <c r="J36" s="19"/>
      <c r="K36" s="19">
        <v>5</v>
      </c>
      <c r="L36" s="19">
        <v>4</v>
      </c>
      <c r="M36" s="19">
        <f>SUM(I36:L36)</f>
        <v>9</v>
      </c>
      <c r="N36" s="35"/>
      <c r="O36" s="36"/>
      <c r="P36" s="234">
        <f t="shared" si="10"/>
        <v>167125530</v>
      </c>
      <c r="Q36" s="16"/>
    </row>
    <row r="37" spans="1:17" ht="15" customHeight="1" x14ac:dyDescent="0.3">
      <c r="A37" s="13"/>
      <c r="B37" s="14" t="s">
        <v>60</v>
      </c>
      <c r="C37" s="15" t="s">
        <v>55</v>
      </c>
      <c r="D37" s="26">
        <f>291.6+46.93</f>
        <v>338.53000000000003</v>
      </c>
      <c r="E37" s="50" t="s">
        <v>52</v>
      </c>
      <c r="F37" s="19">
        <f t="shared" si="9"/>
        <v>16.926500000000001</v>
      </c>
      <c r="G37" s="26">
        <f>17%*D37</f>
        <v>57.550100000000008</v>
      </c>
      <c r="H37" s="26">
        <f t="shared" si="11"/>
        <v>74.476600000000005</v>
      </c>
      <c r="I37" s="19">
        <v>0</v>
      </c>
      <c r="J37" s="19">
        <v>0</v>
      </c>
      <c r="K37" s="19">
        <v>0</v>
      </c>
      <c r="L37" s="19">
        <v>0</v>
      </c>
      <c r="M37" s="19">
        <f t="shared" si="12"/>
        <v>0</v>
      </c>
      <c r="N37" s="35"/>
      <c r="O37" s="36"/>
      <c r="P37" s="234">
        <f t="shared" si="10"/>
        <v>48779464.760000005</v>
      </c>
      <c r="Q37" s="16"/>
    </row>
    <row r="38" spans="1:17" ht="18.75" customHeight="1" x14ac:dyDescent="0.3">
      <c r="A38" s="13"/>
      <c r="B38" s="14"/>
      <c r="C38" s="15"/>
      <c r="D38" s="26"/>
      <c r="E38" s="47" t="s">
        <v>235</v>
      </c>
      <c r="F38" s="26">
        <f>4%*D37</f>
        <v>13.541200000000002</v>
      </c>
      <c r="G38" s="26">
        <f>15%*D37</f>
        <v>50.779500000000006</v>
      </c>
      <c r="H38" s="26">
        <f>SUM(F38:G38)</f>
        <v>64.320700000000002</v>
      </c>
      <c r="I38" s="19"/>
      <c r="J38" s="19"/>
      <c r="K38" s="19"/>
      <c r="L38" s="19">
        <v>5</v>
      </c>
      <c r="M38" s="19">
        <f>SUM(I38:L38)</f>
        <v>5</v>
      </c>
      <c r="N38" s="35"/>
      <c r="O38" s="36"/>
      <c r="P38" s="234">
        <f t="shared" si="10"/>
        <v>43040704.20000001</v>
      </c>
      <c r="Q38" s="16"/>
    </row>
    <row r="39" spans="1:17" ht="14.25" customHeight="1" x14ac:dyDescent="0.3">
      <c r="A39" s="13"/>
      <c r="B39" s="14" t="s">
        <v>61</v>
      </c>
      <c r="C39" s="15" t="s">
        <v>27</v>
      </c>
      <c r="D39" s="26">
        <f>831.5+161.25</f>
        <v>992.75</v>
      </c>
      <c r="E39" s="50" t="s">
        <v>52</v>
      </c>
      <c r="F39" s="19">
        <v>0</v>
      </c>
      <c r="G39" s="26">
        <f>33%*D39</f>
        <v>327.60750000000002</v>
      </c>
      <c r="H39" s="26">
        <f t="shared" si="11"/>
        <v>327.60750000000002</v>
      </c>
      <c r="I39" s="19">
        <v>0</v>
      </c>
      <c r="J39" s="19">
        <v>0</v>
      </c>
      <c r="K39" s="19">
        <v>0</v>
      </c>
      <c r="L39" s="19">
        <v>7</v>
      </c>
      <c r="M39" s="19">
        <f t="shared" si="12"/>
        <v>7</v>
      </c>
      <c r="N39" s="35"/>
      <c r="O39" s="36"/>
      <c r="P39" s="234">
        <f t="shared" si="10"/>
        <v>277680117</v>
      </c>
      <c r="Q39" s="16"/>
    </row>
    <row r="40" spans="1:17" ht="15" customHeight="1" x14ac:dyDescent="0.3">
      <c r="A40" s="13"/>
      <c r="B40" s="14" t="s">
        <v>62</v>
      </c>
      <c r="C40" s="15" t="s">
        <v>28</v>
      </c>
      <c r="D40" s="26">
        <f>868+618.6</f>
        <v>1486.6</v>
      </c>
      <c r="E40" s="50" t="s">
        <v>52</v>
      </c>
      <c r="F40" s="19">
        <v>0</v>
      </c>
      <c r="G40" s="26">
        <f>15%*D40</f>
        <v>222.98999999999998</v>
      </c>
      <c r="H40" s="26">
        <f t="shared" si="11"/>
        <v>222.98999999999998</v>
      </c>
      <c r="I40" s="19">
        <v>0</v>
      </c>
      <c r="J40" s="19">
        <v>0</v>
      </c>
      <c r="K40" s="19">
        <v>5</v>
      </c>
      <c r="L40" s="19">
        <v>5</v>
      </c>
      <c r="M40" s="19">
        <f t="shared" si="12"/>
        <v>10</v>
      </c>
      <c r="N40" s="35"/>
      <c r="O40" s="36"/>
      <c r="P40" s="234">
        <f t="shared" si="10"/>
        <v>189006323.99999997</v>
      </c>
      <c r="Q40" s="16"/>
    </row>
    <row r="41" spans="1:17" ht="15" customHeight="1" x14ac:dyDescent="0.3">
      <c r="A41" s="13"/>
      <c r="B41" s="14" t="s">
        <v>63</v>
      </c>
      <c r="C41" s="15" t="s">
        <v>29</v>
      </c>
      <c r="D41" s="26">
        <f>1546+278.5</f>
        <v>1824.5</v>
      </c>
      <c r="E41" s="50" t="s">
        <v>52</v>
      </c>
      <c r="F41" s="19">
        <v>0</v>
      </c>
      <c r="G41" s="26">
        <f>20%*D41</f>
        <v>364.90000000000003</v>
      </c>
      <c r="H41" s="26">
        <f t="shared" si="11"/>
        <v>364.90000000000003</v>
      </c>
      <c r="I41" s="19">
        <v>0</v>
      </c>
      <c r="J41" s="19">
        <v>0</v>
      </c>
      <c r="K41" s="19">
        <v>10</v>
      </c>
      <c r="L41" s="19">
        <v>5</v>
      </c>
      <c r="M41" s="19">
        <f t="shared" si="12"/>
        <v>15</v>
      </c>
      <c r="N41" s="35"/>
      <c r="O41" s="36"/>
      <c r="P41" s="234">
        <f t="shared" si="10"/>
        <v>309289240</v>
      </c>
      <c r="Q41" s="16"/>
    </row>
    <row r="42" spans="1:17" ht="15" customHeight="1" x14ac:dyDescent="0.3">
      <c r="A42" s="13"/>
      <c r="B42" s="14"/>
      <c r="C42" s="15"/>
      <c r="D42" s="26"/>
      <c r="E42" s="47" t="s">
        <v>234</v>
      </c>
      <c r="F42" s="26"/>
      <c r="G42" s="26">
        <f>12%*D40</f>
        <v>178.392</v>
      </c>
      <c r="H42" s="26">
        <f>F42+G42</f>
        <v>178.392</v>
      </c>
      <c r="I42" s="19"/>
      <c r="J42" s="19">
        <v>0</v>
      </c>
      <c r="K42" s="19">
        <v>0</v>
      </c>
      <c r="L42" s="19">
        <v>0</v>
      </c>
      <c r="M42" s="19">
        <f t="shared" ref="M42" si="13">SUM(I42:L42)</f>
        <v>0</v>
      </c>
      <c r="N42" s="35"/>
      <c r="O42" s="36"/>
      <c r="P42" s="234">
        <f t="shared" si="10"/>
        <v>151205059.19999999</v>
      </c>
      <c r="Q42" s="16"/>
    </row>
    <row r="43" spans="1:17" ht="14.25" customHeight="1" x14ac:dyDescent="0.3">
      <c r="A43" s="13"/>
      <c r="B43" s="14" t="s">
        <v>64</v>
      </c>
      <c r="C43" s="15" t="s">
        <v>56</v>
      </c>
      <c r="D43" s="26">
        <f>156.4+34.9</f>
        <v>191.3</v>
      </c>
      <c r="E43" s="50" t="s">
        <v>52</v>
      </c>
      <c r="F43" s="19">
        <v>0</v>
      </c>
      <c r="G43" s="26">
        <f>13%*D43</f>
        <v>24.869000000000003</v>
      </c>
      <c r="H43" s="26">
        <f t="shared" si="11"/>
        <v>24.869000000000003</v>
      </c>
      <c r="I43" s="19">
        <v>0</v>
      </c>
      <c r="J43" s="19"/>
      <c r="K43" s="19"/>
      <c r="L43" s="19">
        <v>0</v>
      </c>
      <c r="M43" s="19">
        <f t="shared" si="12"/>
        <v>0</v>
      </c>
      <c r="N43" s="35"/>
      <c r="O43" s="36"/>
      <c r="P43" s="234">
        <f t="shared" si="10"/>
        <v>21078964.399999999</v>
      </c>
      <c r="Q43" s="16"/>
    </row>
    <row r="44" spans="1:17" ht="15" customHeight="1" x14ac:dyDescent="0.3">
      <c r="A44" s="13"/>
      <c r="B44" s="14" t="s">
        <v>65</v>
      </c>
      <c r="C44" s="15" t="s">
        <v>30</v>
      </c>
      <c r="D44" s="26">
        <f>1499.7+565.1</f>
        <v>2064.8000000000002</v>
      </c>
      <c r="E44" s="50" t="s">
        <v>52</v>
      </c>
      <c r="F44" s="19">
        <v>0</v>
      </c>
      <c r="G44" s="26">
        <f>12%*D44</f>
        <v>247.77600000000001</v>
      </c>
      <c r="H44" s="26">
        <f t="shared" si="11"/>
        <v>247.77600000000001</v>
      </c>
      <c r="I44" s="19">
        <v>0</v>
      </c>
      <c r="J44" s="19">
        <v>0</v>
      </c>
      <c r="K44" s="19">
        <v>0</v>
      </c>
      <c r="L44" s="19">
        <v>0</v>
      </c>
      <c r="M44" s="19">
        <f t="shared" si="12"/>
        <v>0</v>
      </c>
      <c r="N44" s="35"/>
      <c r="O44" s="36"/>
      <c r="P44" s="234">
        <f t="shared" si="10"/>
        <v>210014937.60000002</v>
      </c>
      <c r="Q44" s="16"/>
    </row>
    <row r="45" spans="1:17" ht="14.25" customHeight="1" x14ac:dyDescent="0.3">
      <c r="A45" s="13"/>
      <c r="B45" s="14" t="s">
        <v>66</v>
      </c>
      <c r="C45" s="15" t="s">
        <v>31</v>
      </c>
      <c r="D45" s="26">
        <f>1207+389</f>
        <v>1596</v>
      </c>
      <c r="E45" s="50" t="s">
        <v>52</v>
      </c>
      <c r="F45" s="19">
        <v>0</v>
      </c>
      <c r="G45" s="26">
        <f>11%*D45</f>
        <v>175.56</v>
      </c>
      <c r="H45" s="26">
        <f t="shared" si="11"/>
        <v>175.56</v>
      </c>
      <c r="I45" s="19">
        <v>0</v>
      </c>
      <c r="J45" s="19">
        <v>0</v>
      </c>
      <c r="K45" s="19">
        <v>0</v>
      </c>
      <c r="L45" s="19">
        <v>0</v>
      </c>
      <c r="M45" s="19">
        <f t="shared" si="12"/>
        <v>0</v>
      </c>
      <c r="N45" s="35"/>
      <c r="O45" s="36"/>
      <c r="P45" s="234">
        <f t="shared" si="10"/>
        <v>148804656</v>
      </c>
      <c r="Q45" s="16"/>
    </row>
    <row r="46" spans="1:17" ht="13.5" customHeight="1" x14ac:dyDescent="0.3">
      <c r="A46" s="13"/>
      <c r="B46" s="14" t="s">
        <v>67</v>
      </c>
      <c r="C46" s="15" t="s">
        <v>32</v>
      </c>
      <c r="D46" s="26">
        <f>998.9+79.5</f>
        <v>1078.4000000000001</v>
      </c>
      <c r="E46" s="50" t="s">
        <v>52</v>
      </c>
      <c r="F46" s="19">
        <v>0</v>
      </c>
      <c r="G46" s="26">
        <f>15%*D46</f>
        <v>161.76000000000002</v>
      </c>
      <c r="H46" s="26">
        <f t="shared" si="11"/>
        <v>161.76000000000002</v>
      </c>
      <c r="I46" s="19">
        <v>0</v>
      </c>
      <c r="J46" s="19">
        <v>0</v>
      </c>
      <c r="K46" s="19">
        <v>0</v>
      </c>
      <c r="L46" s="19">
        <v>0</v>
      </c>
      <c r="M46" s="19">
        <f t="shared" si="12"/>
        <v>0</v>
      </c>
      <c r="N46" s="35"/>
      <c r="O46" s="36"/>
      <c r="P46" s="234">
        <f t="shared" si="10"/>
        <v>137107776.00000003</v>
      </c>
      <c r="Q46" s="16"/>
    </row>
    <row r="47" spans="1:17" ht="15.75" customHeight="1" x14ac:dyDescent="0.3">
      <c r="A47" s="13"/>
      <c r="B47" s="14" t="s">
        <v>68</v>
      </c>
      <c r="C47" s="15" t="s">
        <v>33</v>
      </c>
      <c r="D47" s="26">
        <f>1304+57.5</f>
        <v>1361.5</v>
      </c>
      <c r="E47" s="50" t="s">
        <v>52</v>
      </c>
      <c r="F47" s="19">
        <v>0</v>
      </c>
      <c r="G47" s="26">
        <f>11%*D47</f>
        <v>149.76500000000001</v>
      </c>
      <c r="H47" s="26">
        <f t="shared" si="11"/>
        <v>149.76500000000001</v>
      </c>
      <c r="I47" s="19">
        <v>0</v>
      </c>
      <c r="J47" s="19"/>
      <c r="K47" s="19">
        <v>0</v>
      </c>
      <c r="L47" s="19">
        <v>0</v>
      </c>
      <c r="M47" s="19">
        <f t="shared" si="12"/>
        <v>0</v>
      </c>
      <c r="N47" s="35"/>
      <c r="O47" s="36"/>
      <c r="P47" s="234">
        <f t="shared" si="10"/>
        <v>126940814</v>
      </c>
      <c r="Q47" s="16"/>
    </row>
    <row r="48" spans="1:17" ht="14.25" customHeight="1" x14ac:dyDescent="0.3">
      <c r="A48" s="13"/>
      <c r="B48" s="14" t="s">
        <v>69</v>
      </c>
      <c r="C48" s="15" t="s">
        <v>34</v>
      </c>
      <c r="D48" s="26">
        <f>1784.1+362</f>
        <v>2146.1</v>
      </c>
      <c r="E48" s="50" t="s">
        <v>52</v>
      </c>
      <c r="F48" s="19">
        <v>0</v>
      </c>
      <c r="G48" s="26">
        <f>21%*D48</f>
        <v>450.68099999999998</v>
      </c>
      <c r="H48" s="26">
        <f t="shared" si="11"/>
        <v>450.68099999999998</v>
      </c>
      <c r="I48" s="19">
        <v>0</v>
      </c>
      <c r="J48" s="19"/>
      <c r="K48" s="19"/>
      <c r="L48" s="19">
        <v>6</v>
      </c>
      <c r="M48" s="19">
        <f t="shared" si="12"/>
        <v>6</v>
      </c>
      <c r="N48" s="35"/>
      <c r="O48" s="36"/>
      <c r="P48" s="234">
        <f t="shared" si="10"/>
        <v>381997215.60000002</v>
      </c>
      <c r="Q48" s="16"/>
    </row>
    <row r="49" spans="1:17" ht="13.5" customHeight="1" x14ac:dyDescent="0.3">
      <c r="A49" s="13"/>
      <c r="B49" s="14" t="s">
        <v>70</v>
      </c>
      <c r="C49" s="15" t="s">
        <v>35</v>
      </c>
      <c r="D49" s="26">
        <f>1557+181.5</f>
        <v>1738.5</v>
      </c>
      <c r="E49" s="50" t="s">
        <v>52</v>
      </c>
      <c r="F49" s="19">
        <v>0</v>
      </c>
      <c r="G49" s="26">
        <f>12%*D49</f>
        <v>208.62</v>
      </c>
      <c r="H49" s="26">
        <f t="shared" si="11"/>
        <v>208.62</v>
      </c>
      <c r="I49" s="19">
        <v>0</v>
      </c>
      <c r="J49" s="19">
        <v>0</v>
      </c>
      <c r="K49" s="19">
        <v>0</v>
      </c>
      <c r="L49" s="19">
        <v>0</v>
      </c>
      <c r="M49" s="19">
        <f t="shared" si="12"/>
        <v>0</v>
      </c>
      <c r="N49" s="35"/>
      <c r="O49" s="36"/>
      <c r="P49" s="234">
        <f t="shared" si="10"/>
        <v>176826312</v>
      </c>
      <c r="Q49" s="16"/>
    </row>
    <row r="50" spans="1:17" ht="18.75" customHeight="1" x14ac:dyDescent="0.3">
      <c r="A50" s="13"/>
      <c r="B50" s="14" t="s">
        <v>71</v>
      </c>
      <c r="C50" s="15" t="s">
        <v>21</v>
      </c>
      <c r="D50" s="26">
        <f>1940+114</f>
        <v>2054</v>
      </c>
      <c r="E50" s="50" t="s">
        <v>52</v>
      </c>
      <c r="F50" s="19">
        <v>0</v>
      </c>
      <c r="G50" s="26">
        <f>15%*D50</f>
        <v>308.09999999999997</v>
      </c>
      <c r="H50" s="26">
        <f t="shared" si="11"/>
        <v>308.09999999999997</v>
      </c>
      <c r="I50" s="19">
        <v>0</v>
      </c>
      <c r="J50" s="19">
        <v>0</v>
      </c>
      <c r="K50" s="19">
        <v>0</v>
      </c>
      <c r="L50" s="19">
        <v>0</v>
      </c>
      <c r="M50" s="19">
        <f t="shared" si="12"/>
        <v>0</v>
      </c>
      <c r="N50" s="35"/>
      <c r="O50" s="36"/>
      <c r="P50" s="234">
        <f t="shared" si="10"/>
        <v>261145560</v>
      </c>
      <c r="Q50" s="16"/>
    </row>
    <row r="51" spans="1:17" ht="14.25" customHeight="1" x14ac:dyDescent="0.3">
      <c r="A51" s="13"/>
      <c r="B51" s="14" t="s">
        <v>72</v>
      </c>
      <c r="C51" s="15" t="s">
        <v>42</v>
      </c>
      <c r="D51" s="26">
        <f>773.1+303.8</f>
        <v>1076.9000000000001</v>
      </c>
      <c r="E51" s="50" t="s">
        <v>52</v>
      </c>
      <c r="F51" s="19">
        <v>0</v>
      </c>
      <c r="G51" s="26">
        <f>15%*D51</f>
        <v>161.535</v>
      </c>
      <c r="H51" s="26">
        <f t="shared" si="11"/>
        <v>161.535</v>
      </c>
      <c r="I51" s="19">
        <v>0</v>
      </c>
      <c r="J51" s="19">
        <v>0</v>
      </c>
      <c r="K51" s="19">
        <v>0</v>
      </c>
      <c r="L51" s="19">
        <v>4</v>
      </c>
      <c r="M51" s="19">
        <f t="shared" si="12"/>
        <v>4</v>
      </c>
      <c r="N51" s="35"/>
      <c r="O51" s="36"/>
      <c r="P51" s="234">
        <f t="shared" si="10"/>
        <v>136917065.99999997</v>
      </c>
      <c r="Q51" s="16"/>
    </row>
    <row r="52" spans="1:17" ht="18" customHeight="1" x14ac:dyDescent="0.3">
      <c r="A52" s="13"/>
      <c r="B52" s="14" t="s">
        <v>73</v>
      </c>
      <c r="C52" s="15" t="s">
        <v>105</v>
      </c>
      <c r="D52" s="26">
        <f>153.8+8.7</f>
        <v>162.5</v>
      </c>
      <c r="E52" s="50" t="s">
        <v>52</v>
      </c>
      <c r="F52" s="19">
        <v>0</v>
      </c>
      <c r="G52" s="26">
        <f>10%*D52</f>
        <v>16.25</v>
      </c>
      <c r="H52" s="26">
        <f t="shared" si="11"/>
        <v>16.25</v>
      </c>
      <c r="I52" s="19">
        <v>0</v>
      </c>
      <c r="J52" s="19">
        <v>0</v>
      </c>
      <c r="K52" s="19">
        <v>0</v>
      </c>
      <c r="L52" s="19">
        <v>4</v>
      </c>
      <c r="M52" s="19">
        <f t="shared" si="12"/>
        <v>4</v>
      </c>
      <c r="N52" s="35"/>
      <c r="O52" s="36"/>
      <c r="P52" s="234">
        <f t="shared" si="10"/>
        <v>13773499.999999998</v>
      </c>
      <c r="Q52" s="16"/>
    </row>
    <row r="53" spans="1:17" ht="16.5" customHeight="1" x14ac:dyDescent="0.3">
      <c r="A53" s="13"/>
      <c r="B53" s="14" t="s">
        <v>74</v>
      </c>
      <c r="C53" s="15" t="s">
        <v>110</v>
      </c>
      <c r="D53" s="26">
        <f>695+48.2</f>
        <v>743.2</v>
      </c>
      <c r="E53" s="50" t="s">
        <v>52</v>
      </c>
      <c r="F53" s="19">
        <v>0</v>
      </c>
      <c r="G53" s="26">
        <f>11%*D53</f>
        <v>81.75200000000001</v>
      </c>
      <c r="H53" s="26">
        <f t="shared" si="11"/>
        <v>81.75200000000001</v>
      </c>
      <c r="I53" s="19">
        <v>0</v>
      </c>
      <c r="J53" s="19">
        <v>0</v>
      </c>
      <c r="K53" s="19">
        <v>0</v>
      </c>
      <c r="L53" s="19">
        <v>0</v>
      </c>
      <c r="M53" s="19">
        <f t="shared" si="12"/>
        <v>0</v>
      </c>
      <c r="N53" s="35"/>
      <c r="O53" s="36"/>
      <c r="P53" s="234">
        <f t="shared" si="10"/>
        <v>69292995.200000003</v>
      </c>
      <c r="Q53" s="16"/>
    </row>
    <row r="54" spans="1:17" ht="15.75" customHeight="1" x14ac:dyDescent="0.3">
      <c r="A54" s="13"/>
      <c r="B54" s="14" t="s">
        <v>75</v>
      </c>
      <c r="C54" s="15" t="s">
        <v>112</v>
      </c>
      <c r="D54" s="26">
        <f>375+14</f>
        <v>389</v>
      </c>
      <c r="E54" s="50" t="s">
        <v>52</v>
      </c>
      <c r="F54" s="19">
        <v>0</v>
      </c>
      <c r="G54" s="26">
        <f>10%*D54</f>
        <v>38.900000000000006</v>
      </c>
      <c r="H54" s="26">
        <f t="shared" si="11"/>
        <v>38.900000000000006</v>
      </c>
      <c r="I54" s="19">
        <v>0</v>
      </c>
      <c r="J54" s="19">
        <v>0</v>
      </c>
      <c r="K54" s="19">
        <v>0</v>
      </c>
      <c r="L54" s="19">
        <v>0</v>
      </c>
      <c r="M54" s="19">
        <f t="shared" si="12"/>
        <v>0</v>
      </c>
      <c r="N54" s="35"/>
      <c r="O54" s="36"/>
      <c r="P54" s="234">
        <f t="shared" si="10"/>
        <v>32971640</v>
      </c>
      <c r="Q54" s="16"/>
    </row>
    <row r="55" spans="1:17" ht="15.75" customHeight="1" x14ac:dyDescent="0.3">
      <c r="A55" s="13"/>
      <c r="B55" s="14" t="s">
        <v>104</v>
      </c>
      <c r="C55" s="15" t="s">
        <v>114</v>
      </c>
      <c r="D55" s="26">
        <f>73.5</f>
        <v>73.5</v>
      </c>
      <c r="E55" s="50" t="s">
        <v>52</v>
      </c>
      <c r="F55" s="19">
        <v>0</v>
      </c>
      <c r="G55" s="26">
        <f>10%*D55</f>
        <v>7.3500000000000005</v>
      </c>
      <c r="H55" s="26">
        <f t="shared" si="11"/>
        <v>7.3500000000000005</v>
      </c>
      <c r="I55" s="19">
        <v>0</v>
      </c>
      <c r="J55" s="19">
        <v>0</v>
      </c>
      <c r="K55" s="19">
        <v>0</v>
      </c>
      <c r="L55" s="19">
        <v>0</v>
      </c>
      <c r="M55" s="19">
        <f t="shared" si="12"/>
        <v>0</v>
      </c>
      <c r="N55" s="35"/>
      <c r="O55" s="36"/>
      <c r="P55" s="234">
        <f t="shared" si="10"/>
        <v>6229859.9999999991</v>
      </c>
      <c r="Q55" s="16"/>
    </row>
    <row r="56" spans="1:17" ht="14.25" customHeight="1" x14ac:dyDescent="0.3">
      <c r="A56" s="13"/>
      <c r="B56" s="14" t="s">
        <v>106</v>
      </c>
      <c r="C56" s="15" t="s">
        <v>22</v>
      </c>
      <c r="D56" s="26">
        <f>1130+101</f>
        <v>1231</v>
      </c>
      <c r="E56" s="50" t="s">
        <v>52</v>
      </c>
      <c r="F56" s="19">
        <v>0</v>
      </c>
      <c r="G56" s="26">
        <f>15%*D56</f>
        <v>184.65</v>
      </c>
      <c r="H56" s="26">
        <f t="shared" si="11"/>
        <v>184.65</v>
      </c>
      <c r="I56" s="19">
        <v>0</v>
      </c>
      <c r="J56" s="19">
        <v>0</v>
      </c>
      <c r="K56" s="19">
        <v>4</v>
      </c>
      <c r="L56" s="19">
        <v>0</v>
      </c>
      <c r="M56" s="19">
        <f t="shared" si="12"/>
        <v>4</v>
      </c>
      <c r="N56" s="35"/>
      <c r="O56" s="36"/>
      <c r="P56" s="234">
        <f t="shared" si="10"/>
        <v>156509339.99999997</v>
      </c>
      <c r="Q56" s="16"/>
    </row>
    <row r="57" spans="1:17" ht="15" customHeight="1" x14ac:dyDescent="0.3">
      <c r="A57" s="13"/>
      <c r="B57" s="14" t="s">
        <v>108</v>
      </c>
      <c r="C57" s="15" t="s">
        <v>180</v>
      </c>
      <c r="D57" s="26">
        <f>134.8+5</f>
        <v>139.80000000000001</v>
      </c>
      <c r="E57" s="47" t="s">
        <v>52</v>
      </c>
      <c r="F57" s="19">
        <f>5%*D57</f>
        <v>6.9900000000000011</v>
      </c>
      <c r="G57" s="26">
        <f>15%*D57</f>
        <v>20.970000000000002</v>
      </c>
      <c r="H57" s="26">
        <f t="shared" si="11"/>
        <v>27.960000000000004</v>
      </c>
      <c r="I57" s="19">
        <v>0</v>
      </c>
      <c r="J57" s="19">
        <v>0</v>
      </c>
      <c r="K57" s="19">
        <v>0</v>
      </c>
      <c r="L57" s="19">
        <v>0</v>
      </c>
      <c r="M57" s="19">
        <f t="shared" si="12"/>
        <v>0</v>
      </c>
      <c r="N57" s="35"/>
      <c r="O57" s="36"/>
      <c r="P57" s="234">
        <f t="shared" si="10"/>
        <v>17774172</v>
      </c>
      <c r="Q57" s="16"/>
    </row>
    <row r="58" spans="1:17" ht="16.5" customHeight="1" x14ac:dyDescent="0.3">
      <c r="A58" s="13"/>
      <c r="B58" s="14" t="s">
        <v>109</v>
      </c>
      <c r="C58" s="15" t="s">
        <v>43</v>
      </c>
      <c r="D58" s="26">
        <f>1189+216.6</f>
        <v>1405.6</v>
      </c>
      <c r="E58" s="50" t="s">
        <v>52</v>
      </c>
      <c r="F58" s="19">
        <v>0</v>
      </c>
      <c r="G58" s="26">
        <f>20%*D58</f>
        <v>281.12</v>
      </c>
      <c r="H58" s="26">
        <f t="shared" si="11"/>
        <v>281.12</v>
      </c>
      <c r="I58" s="19">
        <v>0</v>
      </c>
      <c r="J58" s="19">
        <v>0</v>
      </c>
      <c r="K58" s="19">
        <v>0</v>
      </c>
      <c r="L58" s="19">
        <v>0</v>
      </c>
      <c r="M58" s="19">
        <f t="shared" si="12"/>
        <v>0</v>
      </c>
      <c r="N58" s="35"/>
      <c r="O58" s="36"/>
      <c r="P58" s="234">
        <f t="shared" si="10"/>
        <v>238277312</v>
      </c>
      <c r="Q58" s="16"/>
    </row>
    <row r="59" spans="1:17" ht="14.25" customHeight="1" x14ac:dyDescent="0.3">
      <c r="A59" s="13"/>
      <c r="B59" s="55" t="s">
        <v>111</v>
      </c>
      <c r="C59" s="56" t="s">
        <v>44</v>
      </c>
      <c r="D59" s="57">
        <f>1396.6+127</f>
        <v>1523.6</v>
      </c>
      <c r="E59" s="78" t="s">
        <v>52</v>
      </c>
      <c r="F59" s="19">
        <f>5%*D59</f>
        <v>76.179999999999993</v>
      </c>
      <c r="G59" s="26">
        <f>15%*D59</f>
        <v>228.54</v>
      </c>
      <c r="H59" s="26">
        <f t="shared" si="11"/>
        <v>304.71999999999997</v>
      </c>
      <c r="I59" s="19">
        <v>0</v>
      </c>
      <c r="J59" s="19">
        <v>0</v>
      </c>
      <c r="K59" s="19">
        <v>0</v>
      </c>
      <c r="L59" s="19">
        <v>10</v>
      </c>
      <c r="M59" s="19">
        <f t="shared" si="12"/>
        <v>10</v>
      </c>
      <c r="N59" s="35"/>
      <c r="O59" s="36"/>
      <c r="P59" s="234">
        <f t="shared" si="10"/>
        <v>193710504</v>
      </c>
      <c r="Q59" s="16"/>
    </row>
    <row r="60" spans="1:17" ht="14.25" customHeight="1" x14ac:dyDescent="0.3">
      <c r="A60" s="13"/>
      <c r="B60" s="14" t="s">
        <v>74</v>
      </c>
      <c r="C60" s="15" t="s">
        <v>43</v>
      </c>
      <c r="D60" s="26">
        <v>1189</v>
      </c>
      <c r="E60" s="50" t="s">
        <v>52</v>
      </c>
      <c r="F60" s="19">
        <v>0</v>
      </c>
      <c r="G60" s="26">
        <f>15%*D60</f>
        <v>178.35</v>
      </c>
      <c r="H60" s="26">
        <f t="shared" si="11"/>
        <v>178.35</v>
      </c>
      <c r="I60" s="19">
        <v>0</v>
      </c>
      <c r="J60" s="19"/>
      <c r="K60" s="19">
        <v>6</v>
      </c>
      <c r="L60" s="19">
        <v>5</v>
      </c>
      <c r="M60" s="19">
        <f t="shared" si="12"/>
        <v>11</v>
      </c>
      <c r="N60" s="35"/>
      <c r="O60" s="36"/>
      <c r="P60" s="234">
        <f t="shared" si="10"/>
        <v>151169460</v>
      </c>
      <c r="Q60" s="16"/>
    </row>
    <row r="61" spans="1:17" ht="18.75" customHeight="1" x14ac:dyDescent="0.3">
      <c r="A61" s="54"/>
      <c r="B61" s="55" t="s">
        <v>75</v>
      </c>
      <c r="C61" s="56" t="s">
        <v>44</v>
      </c>
      <c r="D61" s="57">
        <v>1391</v>
      </c>
      <c r="E61" s="78" t="s">
        <v>52</v>
      </c>
      <c r="F61" s="19">
        <f>5%*D61</f>
        <v>69.55</v>
      </c>
      <c r="G61" s="26">
        <f>10%*D61</f>
        <v>139.1</v>
      </c>
      <c r="H61" s="26">
        <f t="shared" si="11"/>
        <v>208.64999999999998</v>
      </c>
      <c r="I61" s="19">
        <v>0</v>
      </c>
      <c r="J61" s="19"/>
      <c r="K61" s="19">
        <v>2</v>
      </c>
      <c r="L61" s="19">
        <v>9</v>
      </c>
      <c r="M61" s="19">
        <f t="shared" si="12"/>
        <v>11</v>
      </c>
      <c r="N61" s="35"/>
      <c r="O61" s="36"/>
      <c r="P61" s="234">
        <f t="shared" si="10"/>
        <v>117901159.99999999</v>
      </c>
      <c r="Q61" s="16"/>
    </row>
    <row r="62" spans="1:17" ht="25.5" customHeight="1" x14ac:dyDescent="0.3">
      <c r="A62" s="89"/>
      <c r="B62" s="72" t="s">
        <v>347</v>
      </c>
      <c r="C62" s="72"/>
      <c r="D62" s="84">
        <f>SUM(D32:D61)</f>
        <v>30736.879999999997</v>
      </c>
      <c r="E62" s="74"/>
      <c r="F62" s="83">
        <f>SUM(F39:F61)</f>
        <v>152.71999999999997</v>
      </c>
      <c r="G62" s="83">
        <f t="shared" ref="G62:M62" si="14">SUM(G32:G61)</f>
        <v>5957.2821000000004</v>
      </c>
      <c r="H62" s="83">
        <f t="shared" si="14"/>
        <v>6367.4098000000004</v>
      </c>
      <c r="I62" s="83">
        <f t="shared" si="14"/>
        <v>0</v>
      </c>
      <c r="J62" s="83">
        <f t="shared" si="14"/>
        <v>0</v>
      </c>
      <c r="K62" s="83">
        <f t="shared" si="14"/>
        <v>37</v>
      </c>
      <c r="L62" s="83">
        <f t="shared" si="14"/>
        <v>75</v>
      </c>
      <c r="M62" s="83">
        <f t="shared" si="14"/>
        <v>112</v>
      </c>
      <c r="N62" s="76"/>
      <c r="O62" s="77"/>
      <c r="P62" s="184">
        <f>SUM(P32:P61)</f>
        <v>5049392307.9599991</v>
      </c>
      <c r="Q62" s="75"/>
    </row>
    <row r="63" spans="1:17" ht="18.75" customHeight="1" x14ac:dyDescent="0.3">
      <c r="A63" s="63">
        <v>4</v>
      </c>
      <c r="B63" s="64" t="s">
        <v>46</v>
      </c>
      <c r="C63" s="65"/>
      <c r="D63" s="66"/>
      <c r="E63" s="67"/>
      <c r="F63" s="82"/>
      <c r="G63" s="82"/>
      <c r="H63" s="82"/>
      <c r="I63" s="82"/>
      <c r="J63" s="82"/>
      <c r="K63" s="82"/>
      <c r="L63" s="82"/>
      <c r="M63" s="82"/>
      <c r="N63" s="69"/>
      <c r="O63" s="70"/>
      <c r="P63" s="233"/>
      <c r="Q63" s="68"/>
    </row>
    <row r="64" spans="1:17" ht="25.5" customHeight="1" x14ac:dyDescent="0.3">
      <c r="A64" s="102"/>
      <c r="B64" s="98" t="s">
        <v>57</v>
      </c>
      <c r="C64" s="99" t="s">
        <v>29</v>
      </c>
      <c r="D64" s="96">
        <v>175</v>
      </c>
      <c r="E64" s="101" t="s">
        <v>233</v>
      </c>
      <c r="F64" s="96"/>
      <c r="G64" s="96">
        <f>10%*D64</f>
        <v>17.5</v>
      </c>
      <c r="H64" s="96">
        <f>SUM(F64:G64)</f>
        <v>17.5</v>
      </c>
      <c r="I64" s="97">
        <v>0</v>
      </c>
      <c r="J64" s="97"/>
      <c r="K64" s="97">
        <v>3</v>
      </c>
      <c r="L64" s="97">
        <v>2</v>
      </c>
      <c r="M64" s="97">
        <f t="shared" ref="M64:M71" si="15">SUM(I64:L64)</f>
        <v>5</v>
      </c>
      <c r="N64" s="35" t="s">
        <v>51</v>
      </c>
      <c r="O64" s="36" t="s">
        <v>229</v>
      </c>
      <c r="P64" s="234">
        <f t="shared" ref="P64:P71" si="16">G64*1.036*20%*8000000</f>
        <v>29008000</v>
      </c>
      <c r="Q64" s="16"/>
    </row>
    <row r="65" spans="1:17" ht="21.75" customHeight="1" x14ac:dyDescent="0.3">
      <c r="A65" s="13"/>
      <c r="B65" s="14" t="s">
        <v>58</v>
      </c>
      <c r="C65" s="15" t="s">
        <v>33</v>
      </c>
      <c r="D65" s="26">
        <v>368</v>
      </c>
      <c r="E65" s="47" t="s">
        <v>185</v>
      </c>
      <c r="F65" s="26">
        <f>0%*D65</f>
        <v>0</v>
      </c>
      <c r="G65" s="26">
        <f>10%*D65</f>
        <v>36.800000000000004</v>
      </c>
      <c r="H65" s="26">
        <f t="shared" ref="H65:H71" si="17">SUM(F65:G65)</f>
        <v>36.800000000000004</v>
      </c>
      <c r="I65" s="19">
        <v>0</v>
      </c>
      <c r="J65" s="19"/>
      <c r="K65" s="19">
        <v>0</v>
      </c>
      <c r="L65" s="19">
        <v>3</v>
      </c>
      <c r="M65" s="19">
        <f t="shared" si="15"/>
        <v>3</v>
      </c>
      <c r="N65" s="35" t="s">
        <v>51</v>
      </c>
      <c r="O65" s="36" t="s">
        <v>138</v>
      </c>
      <c r="P65" s="234">
        <f t="shared" si="16"/>
        <v>60999680.000000015</v>
      </c>
      <c r="Q65" s="16"/>
    </row>
    <row r="66" spans="1:17" ht="22.5" customHeight="1" x14ac:dyDescent="0.3">
      <c r="A66" s="13"/>
      <c r="B66" s="98" t="s">
        <v>59</v>
      </c>
      <c r="C66" s="99" t="s">
        <v>42</v>
      </c>
      <c r="D66" s="96">
        <v>774.98</v>
      </c>
      <c r="E66" s="101" t="s">
        <v>233</v>
      </c>
      <c r="F66" s="96">
        <f>0%*D66</f>
        <v>0</v>
      </c>
      <c r="G66" s="97">
        <f>19%*D66</f>
        <v>147.24620000000002</v>
      </c>
      <c r="H66" s="96">
        <f t="shared" si="17"/>
        <v>147.24620000000002</v>
      </c>
      <c r="I66" s="97">
        <v>0</v>
      </c>
      <c r="J66" s="97"/>
      <c r="K66" s="97">
        <v>0</v>
      </c>
      <c r="L66" s="97">
        <v>0</v>
      </c>
      <c r="M66" s="97">
        <f t="shared" si="15"/>
        <v>0</v>
      </c>
      <c r="N66" s="35"/>
      <c r="O66" s="36"/>
      <c r="P66" s="234">
        <f t="shared" si="16"/>
        <v>244075301.12000006</v>
      </c>
      <c r="Q66" s="16"/>
    </row>
    <row r="67" spans="1:17" ht="25.5" customHeight="1" x14ac:dyDescent="0.3">
      <c r="A67" s="13"/>
      <c r="B67" s="98" t="s">
        <v>60</v>
      </c>
      <c r="C67" s="99" t="s">
        <v>21</v>
      </c>
      <c r="D67" s="96">
        <v>942.55</v>
      </c>
      <c r="E67" s="101" t="s">
        <v>186</v>
      </c>
      <c r="F67" s="96">
        <f>1%*D67</f>
        <v>9.4254999999999995</v>
      </c>
      <c r="G67" s="97">
        <f>6%*D67</f>
        <v>56.552999999999997</v>
      </c>
      <c r="H67" s="96">
        <f t="shared" si="17"/>
        <v>65.978499999999997</v>
      </c>
      <c r="I67" s="97">
        <v>0</v>
      </c>
      <c r="J67" s="97"/>
      <c r="K67" s="97">
        <v>0</v>
      </c>
      <c r="L67" s="97">
        <v>0</v>
      </c>
      <c r="M67" s="97">
        <f t="shared" si="15"/>
        <v>0</v>
      </c>
      <c r="N67" s="35"/>
      <c r="O67" s="36"/>
      <c r="P67" s="234">
        <f t="shared" si="16"/>
        <v>93742252.799999997</v>
      </c>
      <c r="Q67" s="16"/>
    </row>
    <row r="68" spans="1:17" ht="22.5" customHeight="1" x14ac:dyDescent="0.3">
      <c r="A68" s="13"/>
      <c r="B68" s="98"/>
      <c r="C68" s="99"/>
      <c r="D68" s="96"/>
      <c r="E68" s="101" t="s">
        <v>233</v>
      </c>
      <c r="F68" s="96"/>
      <c r="G68" s="96">
        <f>7%*D67</f>
        <v>65.978499999999997</v>
      </c>
      <c r="H68" s="96">
        <f>SUM(F68:G68)</f>
        <v>65.978499999999997</v>
      </c>
      <c r="I68" s="19">
        <v>0</v>
      </c>
      <c r="J68" s="19">
        <v>0</v>
      </c>
      <c r="K68" s="19">
        <v>0</v>
      </c>
      <c r="L68" s="19">
        <v>0</v>
      </c>
      <c r="M68" s="19">
        <f t="shared" si="15"/>
        <v>0</v>
      </c>
      <c r="N68" s="35"/>
      <c r="O68" s="36"/>
      <c r="P68" s="234">
        <f t="shared" si="16"/>
        <v>109365961.59999999</v>
      </c>
      <c r="Q68" s="16"/>
    </row>
    <row r="69" spans="1:17" ht="24" customHeight="1" x14ac:dyDescent="0.3">
      <c r="A69" s="16"/>
      <c r="B69" s="14" t="s">
        <v>61</v>
      </c>
      <c r="C69" s="15" t="s">
        <v>22</v>
      </c>
      <c r="D69" s="26">
        <v>1233.55</v>
      </c>
      <c r="E69" s="101" t="s">
        <v>233</v>
      </c>
      <c r="F69" s="26">
        <f>0%*D69</f>
        <v>0</v>
      </c>
      <c r="G69" s="19">
        <f>5%*D69</f>
        <v>61.677500000000002</v>
      </c>
      <c r="H69" s="26">
        <f t="shared" si="17"/>
        <v>61.677500000000002</v>
      </c>
      <c r="I69" s="19">
        <v>0</v>
      </c>
      <c r="J69" s="19"/>
      <c r="K69" s="19">
        <v>0</v>
      </c>
      <c r="L69" s="19">
        <v>1</v>
      </c>
      <c r="M69" s="19">
        <f t="shared" si="15"/>
        <v>1</v>
      </c>
      <c r="N69" s="35"/>
      <c r="O69" s="36"/>
      <c r="P69" s="234">
        <f t="shared" si="16"/>
        <v>102236624</v>
      </c>
      <c r="Q69" s="16"/>
    </row>
    <row r="70" spans="1:17" ht="21" customHeight="1" x14ac:dyDescent="0.3">
      <c r="A70" s="87"/>
      <c r="B70" s="55" t="s">
        <v>62</v>
      </c>
      <c r="C70" s="56" t="s">
        <v>43</v>
      </c>
      <c r="D70" s="57">
        <v>133</v>
      </c>
      <c r="E70" s="101" t="s">
        <v>233</v>
      </c>
      <c r="F70" s="26">
        <f>0%*D70</f>
        <v>0</v>
      </c>
      <c r="G70" s="19">
        <f>4%*D70</f>
        <v>5.32</v>
      </c>
      <c r="H70" s="26">
        <f t="shared" si="17"/>
        <v>5.32</v>
      </c>
      <c r="I70" s="19">
        <v>0</v>
      </c>
      <c r="J70" s="19"/>
      <c r="K70" s="19">
        <v>0</v>
      </c>
      <c r="L70" s="19">
        <v>2</v>
      </c>
      <c r="M70" s="19">
        <f t="shared" si="15"/>
        <v>2</v>
      </c>
      <c r="N70" s="35"/>
      <c r="O70" s="36"/>
      <c r="P70" s="234">
        <f t="shared" si="16"/>
        <v>8818432.0000000019</v>
      </c>
      <c r="Q70" s="16"/>
    </row>
    <row r="71" spans="1:17" ht="27.75" customHeight="1" x14ac:dyDescent="0.3">
      <c r="A71" s="16"/>
      <c r="B71" s="14" t="s">
        <v>63</v>
      </c>
      <c r="C71" s="15" t="s">
        <v>32</v>
      </c>
      <c r="D71" s="26">
        <v>298.5</v>
      </c>
      <c r="E71" s="101" t="s">
        <v>236</v>
      </c>
      <c r="F71" s="26">
        <f>0%*D71</f>
        <v>0</v>
      </c>
      <c r="G71" s="19">
        <f>3%*D71</f>
        <v>8.9550000000000001</v>
      </c>
      <c r="H71" s="26">
        <f t="shared" si="17"/>
        <v>8.9550000000000001</v>
      </c>
      <c r="I71" s="135">
        <v>0</v>
      </c>
      <c r="J71" s="135"/>
      <c r="K71" s="135">
        <v>0</v>
      </c>
      <c r="L71" s="135">
        <v>5</v>
      </c>
      <c r="M71" s="135">
        <f t="shared" si="15"/>
        <v>5</v>
      </c>
      <c r="N71" s="80"/>
      <c r="O71" s="81"/>
      <c r="P71" s="234">
        <f t="shared" si="16"/>
        <v>14843808.000000002</v>
      </c>
      <c r="Q71" s="87"/>
    </row>
    <row r="72" spans="1:17" ht="18.75" customHeight="1" x14ac:dyDescent="0.3">
      <c r="A72" s="75"/>
      <c r="B72" s="72" t="s">
        <v>348</v>
      </c>
      <c r="C72" s="72"/>
      <c r="D72" s="73">
        <f>SUM(D64:D71)</f>
        <v>3925.58</v>
      </c>
      <c r="E72" s="74"/>
      <c r="F72" s="73">
        <f t="shared" ref="F72:K72" si="18">SUM(F64:F71)</f>
        <v>9.4254999999999995</v>
      </c>
      <c r="G72" s="83">
        <f t="shared" si="18"/>
        <v>400.03019999999998</v>
      </c>
      <c r="H72" s="73">
        <f t="shared" si="18"/>
        <v>409.45570000000004</v>
      </c>
      <c r="I72" s="83">
        <f t="shared" si="18"/>
        <v>0</v>
      </c>
      <c r="J72" s="83">
        <f t="shared" si="18"/>
        <v>0</v>
      </c>
      <c r="K72" s="83">
        <f t="shared" si="18"/>
        <v>3</v>
      </c>
      <c r="L72" s="83">
        <f>SUM(L63:L71)</f>
        <v>13</v>
      </c>
      <c r="M72" s="83">
        <f>SUM(M64:M71)</f>
        <v>16</v>
      </c>
      <c r="N72" s="76"/>
      <c r="O72" s="77"/>
      <c r="P72" s="184">
        <f>SUM(P64:P71)</f>
        <v>663090059.5200001</v>
      </c>
      <c r="Q72" s="75"/>
    </row>
    <row r="73" spans="1:17" ht="16.5" customHeight="1" x14ac:dyDescent="0.3">
      <c r="A73" s="63">
        <v>5</v>
      </c>
      <c r="B73" s="64" t="s">
        <v>96</v>
      </c>
      <c r="C73" s="65"/>
      <c r="D73" s="66"/>
      <c r="E73" s="67"/>
      <c r="F73" s="66"/>
      <c r="G73" s="66"/>
      <c r="H73" s="66"/>
      <c r="I73" s="82"/>
      <c r="J73" s="82"/>
      <c r="K73" s="82"/>
      <c r="L73" s="82"/>
      <c r="M73" s="82"/>
      <c r="N73" s="69"/>
      <c r="O73" s="70"/>
      <c r="P73" s="233"/>
      <c r="Q73" s="68"/>
    </row>
    <row r="74" spans="1:17" ht="16.5" customHeight="1" x14ac:dyDescent="0.3">
      <c r="A74" s="16"/>
      <c r="B74" s="14" t="s">
        <v>57</v>
      </c>
      <c r="C74" s="15" t="s">
        <v>22</v>
      </c>
      <c r="D74" s="26">
        <v>9.5</v>
      </c>
      <c r="E74" s="47" t="s">
        <v>187</v>
      </c>
      <c r="F74" s="26">
        <f>50%*D74</f>
        <v>4.75</v>
      </c>
      <c r="G74" s="26">
        <f>20%*D74</f>
        <v>1.9000000000000001</v>
      </c>
      <c r="H74" s="26">
        <f t="shared" ref="H74:H82" si="19">SUM(F74:G74)</f>
        <v>6.65</v>
      </c>
      <c r="I74" s="19">
        <v>0</v>
      </c>
      <c r="J74" s="19"/>
      <c r="K74" s="19">
        <v>0</v>
      </c>
      <c r="L74" s="19">
        <v>1</v>
      </c>
      <c r="M74" s="19">
        <f>SUM(I74:L74)</f>
        <v>1</v>
      </c>
      <c r="N74" s="35"/>
      <c r="O74" s="36"/>
      <c r="P74" s="234">
        <f t="shared" ref="P74:P82" si="20">G74*0.486*30%*0</f>
        <v>0</v>
      </c>
      <c r="Q74" s="16"/>
    </row>
    <row r="75" spans="1:17" ht="17.25" customHeight="1" x14ac:dyDescent="0.3">
      <c r="A75" s="16"/>
      <c r="B75" s="14" t="s">
        <v>58</v>
      </c>
      <c r="C75" s="15" t="s">
        <v>21</v>
      </c>
      <c r="D75" s="26">
        <v>18.11</v>
      </c>
      <c r="E75" s="47" t="s">
        <v>187</v>
      </c>
      <c r="F75" s="26">
        <f>21%*D75</f>
        <v>3.8030999999999997</v>
      </c>
      <c r="G75" s="26">
        <f>50%*D75</f>
        <v>9.0549999999999997</v>
      </c>
      <c r="H75" s="26">
        <f t="shared" si="19"/>
        <v>12.8581</v>
      </c>
      <c r="I75" s="19">
        <v>0</v>
      </c>
      <c r="J75" s="19"/>
      <c r="K75" s="19">
        <v>1</v>
      </c>
      <c r="L75" s="19">
        <v>1</v>
      </c>
      <c r="M75" s="19">
        <f t="shared" ref="M75:M82" si="21">SUM(I75:L75)</f>
        <v>2</v>
      </c>
      <c r="N75" s="35"/>
      <c r="O75" s="36" t="s">
        <v>50</v>
      </c>
      <c r="P75" s="234">
        <f t="shared" si="20"/>
        <v>0</v>
      </c>
      <c r="Q75" s="16"/>
    </row>
    <row r="76" spans="1:17" ht="16.5" customHeight="1" x14ac:dyDescent="0.3">
      <c r="A76" s="16"/>
      <c r="B76" s="14"/>
      <c r="C76" s="15"/>
      <c r="D76" s="26"/>
      <c r="E76" s="47" t="s">
        <v>631</v>
      </c>
      <c r="F76" s="96">
        <f>12%*D75</f>
        <v>2.1732</v>
      </c>
      <c r="G76" s="96">
        <f>10%*D75</f>
        <v>1.8109999999999999</v>
      </c>
      <c r="H76" s="96">
        <f t="shared" si="19"/>
        <v>3.9842</v>
      </c>
      <c r="I76" s="97">
        <v>0</v>
      </c>
      <c r="J76" s="97">
        <v>0</v>
      </c>
      <c r="K76" s="97">
        <v>0</v>
      </c>
      <c r="L76" s="97">
        <v>0</v>
      </c>
      <c r="M76" s="97">
        <f t="shared" si="21"/>
        <v>0</v>
      </c>
      <c r="N76" s="35"/>
      <c r="O76" s="36"/>
      <c r="P76" s="234">
        <f t="shared" si="20"/>
        <v>0</v>
      </c>
      <c r="Q76" s="16"/>
    </row>
    <row r="77" spans="1:17" ht="16.5" customHeight="1" x14ac:dyDescent="0.3">
      <c r="A77" s="16"/>
      <c r="B77" s="14" t="s">
        <v>59</v>
      </c>
      <c r="C77" s="15" t="s">
        <v>43</v>
      </c>
      <c r="D77" s="26">
        <v>19.79</v>
      </c>
      <c r="E77" s="47" t="s">
        <v>187</v>
      </c>
      <c r="F77" s="26">
        <f>9%*D77</f>
        <v>1.7810999999999999</v>
      </c>
      <c r="G77" s="26">
        <f>10%*D77</f>
        <v>1.9790000000000001</v>
      </c>
      <c r="H77" s="26">
        <f t="shared" si="19"/>
        <v>3.7601</v>
      </c>
      <c r="I77" s="19">
        <v>0</v>
      </c>
      <c r="J77" s="19"/>
      <c r="K77" s="19">
        <v>1</v>
      </c>
      <c r="L77" s="19">
        <v>0</v>
      </c>
      <c r="M77" s="19">
        <f t="shared" si="21"/>
        <v>1</v>
      </c>
      <c r="N77" s="35"/>
      <c r="O77" s="36" t="s">
        <v>137</v>
      </c>
      <c r="P77" s="234">
        <f t="shared" si="20"/>
        <v>0</v>
      </c>
      <c r="Q77" s="16"/>
    </row>
    <row r="78" spans="1:17" ht="17.25" customHeight="1" x14ac:dyDescent="0.3">
      <c r="A78" s="16"/>
      <c r="B78" s="14" t="s">
        <v>60</v>
      </c>
      <c r="C78" s="15" t="s">
        <v>44</v>
      </c>
      <c r="D78" s="26">
        <v>30.5</v>
      </c>
      <c r="E78" s="47" t="s">
        <v>187</v>
      </c>
      <c r="F78" s="26">
        <f>9%*D78</f>
        <v>2.7450000000000001</v>
      </c>
      <c r="G78" s="26">
        <f>20%*D78</f>
        <v>6.1000000000000005</v>
      </c>
      <c r="H78" s="26">
        <f t="shared" si="19"/>
        <v>8.8450000000000006</v>
      </c>
      <c r="I78" s="19">
        <v>0</v>
      </c>
      <c r="J78" s="19">
        <v>0</v>
      </c>
      <c r="K78" s="19">
        <v>0</v>
      </c>
      <c r="L78" s="19">
        <v>0</v>
      </c>
      <c r="M78" s="19">
        <f t="shared" si="21"/>
        <v>0</v>
      </c>
      <c r="N78" s="35"/>
      <c r="O78" s="36" t="s">
        <v>145</v>
      </c>
      <c r="P78" s="234">
        <f t="shared" si="20"/>
        <v>0</v>
      </c>
      <c r="Q78" s="16"/>
    </row>
    <row r="79" spans="1:17" ht="15.75" customHeight="1" x14ac:dyDescent="0.3">
      <c r="A79" s="16"/>
      <c r="B79" s="14" t="s">
        <v>61</v>
      </c>
      <c r="C79" s="15" t="s">
        <v>33</v>
      </c>
      <c r="D79" s="26">
        <v>8.3000000000000007</v>
      </c>
      <c r="E79" s="47" t="s">
        <v>187</v>
      </c>
      <c r="F79" s="26">
        <f>9%*D79</f>
        <v>0.747</v>
      </c>
      <c r="G79" s="26">
        <f>15%*D79</f>
        <v>1.2450000000000001</v>
      </c>
      <c r="H79" s="26">
        <f t="shared" si="19"/>
        <v>1.992</v>
      </c>
      <c r="I79" s="19">
        <v>0</v>
      </c>
      <c r="J79" s="19">
        <v>0</v>
      </c>
      <c r="K79" s="19">
        <v>0</v>
      </c>
      <c r="L79" s="19">
        <v>0</v>
      </c>
      <c r="M79" s="19">
        <f t="shared" si="21"/>
        <v>0</v>
      </c>
      <c r="N79" s="35"/>
      <c r="O79" s="36" t="s">
        <v>626</v>
      </c>
      <c r="P79" s="234">
        <f t="shared" si="20"/>
        <v>0</v>
      </c>
      <c r="Q79" s="16"/>
    </row>
    <row r="80" spans="1:17" ht="17.25" customHeight="1" x14ac:dyDescent="0.3">
      <c r="A80" s="16"/>
      <c r="B80" s="14" t="s">
        <v>62</v>
      </c>
      <c r="C80" s="15" t="s">
        <v>32</v>
      </c>
      <c r="D80" s="26">
        <v>1.25</v>
      </c>
      <c r="E80" s="47" t="s">
        <v>187</v>
      </c>
      <c r="F80" s="26">
        <f>1%*D80</f>
        <v>1.2500000000000001E-2</v>
      </c>
      <c r="G80" s="26">
        <f>10%*D80</f>
        <v>0.125</v>
      </c>
      <c r="H80" s="26">
        <f t="shared" si="19"/>
        <v>0.13750000000000001</v>
      </c>
      <c r="I80" s="19">
        <v>0</v>
      </c>
      <c r="J80" s="19">
        <v>0</v>
      </c>
      <c r="K80" s="19">
        <v>0</v>
      </c>
      <c r="L80" s="19">
        <v>0</v>
      </c>
      <c r="M80" s="19">
        <f t="shared" si="21"/>
        <v>0</v>
      </c>
      <c r="N80" s="35"/>
      <c r="O80" s="36"/>
      <c r="P80" s="234">
        <f t="shared" si="20"/>
        <v>0</v>
      </c>
      <c r="Q80" s="16"/>
    </row>
    <row r="81" spans="1:20" ht="16.5" customHeight="1" x14ac:dyDescent="0.3">
      <c r="A81" s="16"/>
      <c r="B81" s="14">
        <v>9</v>
      </c>
      <c r="C81" s="15" t="s">
        <v>30</v>
      </c>
      <c r="D81" s="26">
        <v>9.5</v>
      </c>
      <c r="E81" s="47" t="s">
        <v>187</v>
      </c>
      <c r="F81" s="26">
        <f>11%*D81</f>
        <v>1.0449999999999999</v>
      </c>
      <c r="G81" s="26">
        <f>15%*D81</f>
        <v>1.425</v>
      </c>
      <c r="H81" s="26">
        <f t="shared" si="19"/>
        <v>2.4699999999999998</v>
      </c>
      <c r="I81" s="19">
        <v>0</v>
      </c>
      <c r="J81" s="19">
        <v>0</v>
      </c>
      <c r="K81" s="19">
        <v>0</v>
      </c>
      <c r="L81" s="19">
        <v>0</v>
      </c>
      <c r="M81" s="19">
        <f t="shared" si="21"/>
        <v>0</v>
      </c>
      <c r="N81" s="35"/>
      <c r="O81" s="36"/>
      <c r="P81" s="234">
        <f t="shared" si="20"/>
        <v>0</v>
      </c>
      <c r="Q81" s="16"/>
    </row>
    <row r="82" spans="1:20" ht="17.25" customHeight="1" x14ac:dyDescent="0.3">
      <c r="A82" s="87"/>
      <c r="B82" s="55" t="s">
        <v>64</v>
      </c>
      <c r="C82" s="56" t="s">
        <v>31</v>
      </c>
      <c r="D82" s="57">
        <v>6</v>
      </c>
      <c r="E82" s="47" t="s">
        <v>187</v>
      </c>
      <c r="F82" s="26">
        <f>14%*D82</f>
        <v>0.84000000000000008</v>
      </c>
      <c r="G82" s="26">
        <f>10%*D82</f>
        <v>0.60000000000000009</v>
      </c>
      <c r="H82" s="26">
        <f t="shared" si="19"/>
        <v>1.4400000000000002</v>
      </c>
      <c r="I82" s="79">
        <v>0</v>
      </c>
      <c r="J82" s="79">
        <v>0</v>
      </c>
      <c r="K82" s="79">
        <v>0</v>
      </c>
      <c r="L82" s="79">
        <v>0</v>
      </c>
      <c r="M82" s="79">
        <f t="shared" si="21"/>
        <v>0</v>
      </c>
      <c r="N82" s="80"/>
      <c r="O82" s="81"/>
      <c r="P82" s="234">
        <f t="shared" si="20"/>
        <v>0</v>
      </c>
      <c r="Q82" s="87"/>
    </row>
    <row r="83" spans="1:20" ht="18.75" customHeight="1" x14ac:dyDescent="0.3">
      <c r="A83" s="75"/>
      <c r="B83" s="72" t="s">
        <v>349</v>
      </c>
      <c r="C83" s="72"/>
      <c r="D83" s="73">
        <f>SUM(D74:D82)</f>
        <v>102.95</v>
      </c>
      <c r="E83" s="74"/>
      <c r="F83" s="73">
        <f t="shared" ref="F83:K83" si="22">SUM(F74:F82)</f>
        <v>17.896899999999999</v>
      </c>
      <c r="G83" s="73">
        <f t="shared" si="22"/>
        <v>24.240000000000006</v>
      </c>
      <c r="H83" s="73">
        <f t="shared" si="22"/>
        <v>42.136899999999997</v>
      </c>
      <c r="I83" s="83">
        <f t="shared" si="22"/>
        <v>0</v>
      </c>
      <c r="J83" s="83">
        <f t="shared" si="22"/>
        <v>0</v>
      </c>
      <c r="K83" s="83">
        <f t="shared" si="22"/>
        <v>2</v>
      </c>
      <c r="L83" s="83">
        <f>SUM(L73:L82)</f>
        <v>2</v>
      </c>
      <c r="M83" s="83">
        <f>SUM(M74:M82)</f>
        <v>4</v>
      </c>
      <c r="N83" s="76"/>
      <c r="O83" s="77"/>
      <c r="P83" s="184">
        <f>SUM(P74:P82)</f>
        <v>0</v>
      </c>
      <c r="Q83" s="75"/>
    </row>
    <row r="84" spans="1:20" ht="17.25" customHeight="1" x14ac:dyDescent="0.3">
      <c r="A84" s="103">
        <v>6</v>
      </c>
      <c r="B84" s="104" t="s">
        <v>116</v>
      </c>
      <c r="C84" s="104"/>
      <c r="D84" s="105"/>
      <c r="E84" s="106"/>
      <c r="F84" s="105"/>
      <c r="G84" s="107"/>
      <c r="H84" s="105"/>
      <c r="I84" s="107"/>
      <c r="J84" s="107"/>
      <c r="K84" s="107"/>
      <c r="L84" s="107"/>
      <c r="M84" s="107"/>
      <c r="N84" s="69"/>
      <c r="O84" s="70"/>
      <c r="P84" s="233"/>
      <c r="Q84" s="68"/>
      <c r="S84" s="1" t="s">
        <v>596</v>
      </c>
    </row>
    <row r="85" spans="1:20" ht="19.5" customHeight="1" x14ac:dyDescent="0.3">
      <c r="A85" s="27"/>
      <c r="B85" s="152" t="s">
        <v>57</v>
      </c>
      <c r="C85" s="153" t="s">
        <v>30</v>
      </c>
      <c r="D85" s="154">
        <v>57.9</v>
      </c>
      <c r="E85" s="101" t="s">
        <v>607</v>
      </c>
      <c r="F85" s="154">
        <f>5%*D85</f>
        <v>2.895</v>
      </c>
      <c r="G85" s="155">
        <f>20%*D85</f>
        <v>11.58</v>
      </c>
      <c r="H85" s="154">
        <f t="shared" ref="H85:H90" si="23">SUM(F85:G85)</f>
        <v>14.475</v>
      </c>
      <c r="I85" s="155">
        <v>0</v>
      </c>
      <c r="J85" s="155"/>
      <c r="K85" s="155">
        <v>5</v>
      </c>
      <c r="L85" s="155">
        <v>3</v>
      </c>
      <c r="M85" s="155">
        <f>SUM(I85:L85)</f>
        <v>8</v>
      </c>
      <c r="N85" s="156" t="s">
        <v>86</v>
      </c>
      <c r="O85" s="40" t="s">
        <v>271</v>
      </c>
      <c r="P85" s="235">
        <f t="shared" ref="P85:P90" si="24">G85*0.347*30*16000000</f>
        <v>1928764800</v>
      </c>
      <c r="Q85" s="27"/>
      <c r="S85" s="1" t="s">
        <v>597</v>
      </c>
      <c r="T85" s="1" t="s">
        <v>598</v>
      </c>
    </row>
    <row r="86" spans="1:20" ht="16.5" customHeight="1" x14ac:dyDescent="0.3">
      <c r="A86" s="27"/>
      <c r="B86" s="152"/>
      <c r="C86" s="153"/>
      <c r="D86" s="154"/>
      <c r="E86" s="101" t="s">
        <v>625</v>
      </c>
      <c r="F86" s="154">
        <f>3%*D85</f>
        <v>1.7369999999999999</v>
      </c>
      <c r="G86" s="155">
        <f>6%*D85</f>
        <v>3.4739999999999998</v>
      </c>
      <c r="H86" s="154">
        <f t="shared" ref="H86" si="25">SUM(F86:G86)</f>
        <v>5.2109999999999994</v>
      </c>
      <c r="I86" s="155">
        <v>0</v>
      </c>
      <c r="J86" s="155"/>
      <c r="K86" s="155"/>
      <c r="L86" s="155">
        <v>4</v>
      </c>
      <c r="M86" s="155">
        <f>SUM(I86:L86)</f>
        <v>4</v>
      </c>
      <c r="N86" s="156"/>
      <c r="O86" s="40"/>
      <c r="P86" s="235">
        <f t="shared" si="24"/>
        <v>578629439.99999988</v>
      </c>
      <c r="Q86" s="27"/>
    </row>
    <row r="87" spans="1:20" ht="18" customHeight="1" x14ac:dyDescent="0.3">
      <c r="A87" s="16"/>
      <c r="B87" s="14" t="s">
        <v>58</v>
      </c>
      <c r="C87" s="15" t="s">
        <v>44</v>
      </c>
      <c r="D87" s="26">
        <v>84.65</v>
      </c>
      <c r="E87" s="47" t="s">
        <v>182</v>
      </c>
      <c r="F87" s="26">
        <f>5%*D87</f>
        <v>4.2325000000000008</v>
      </c>
      <c r="G87" s="19">
        <f>20%*D87</f>
        <v>16.930000000000003</v>
      </c>
      <c r="H87" s="26">
        <f t="shared" si="23"/>
        <v>21.162500000000005</v>
      </c>
      <c r="I87" s="19">
        <v>0</v>
      </c>
      <c r="J87" s="19"/>
      <c r="K87" s="19"/>
      <c r="L87" s="19">
        <v>5</v>
      </c>
      <c r="M87" s="19">
        <f t="shared" ref="M87:M90" si="26">SUM(I87:L87)</f>
        <v>5</v>
      </c>
      <c r="N87" s="35"/>
      <c r="O87" s="36" t="s">
        <v>272</v>
      </c>
      <c r="P87" s="235">
        <f t="shared" si="24"/>
        <v>2819860800.0000005</v>
      </c>
      <c r="Q87" s="16"/>
      <c r="S87" s="1" t="s">
        <v>599</v>
      </c>
      <c r="T87" s="1" t="s">
        <v>600</v>
      </c>
    </row>
    <row r="88" spans="1:20" ht="29.25" customHeight="1" x14ac:dyDescent="0.3">
      <c r="A88" s="16"/>
      <c r="B88" s="14"/>
      <c r="C88" s="15"/>
      <c r="D88" s="26"/>
      <c r="E88" s="101" t="s">
        <v>181</v>
      </c>
      <c r="F88" s="96">
        <f>10%*D87</f>
        <v>8.4650000000000016</v>
      </c>
      <c r="G88" s="97">
        <f>3%*D87</f>
        <v>2.5394999999999999</v>
      </c>
      <c r="H88" s="96">
        <f t="shared" si="23"/>
        <v>11.004500000000002</v>
      </c>
      <c r="I88" s="97">
        <v>0</v>
      </c>
      <c r="J88" s="97"/>
      <c r="K88" s="97">
        <v>0</v>
      </c>
      <c r="L88" s="97">
        <v>0</v>
      </c>
      <c r="M88" s="97">
        <f>SUM(I88:L88)</f>
        <v>0</v>
      </c>
      <c r="N88" s="35"/>
      <c r="O88" s="159" t="s">
        <v>273</v>
      </c>
      <c r="P88" s="235">
        <f t="shared" si="24"/>
        <v>422979119.99999994</v>
      </c>
      <c r="Q88" s="16"/>
    </row>
    <row r="89" spans="1:20" ht="27.75" customHeight="1" x14ac:dyDescent="0.3">
      <c r="A89" s="16"/>
      <c r="B89" s="14" t="s">
        <v>59</v>
      </c>
      <c r="C89" s="15" t="s">
        <v>33</v>
      </c>
      <c r="D89" s="26">
        <v>14.2</v>
      </c>
      <c r="E89" s="101" t="s">
        <v>181</v>
      </c>
      <c r="F89" s="26">
        <f>11%*D89</f>
        <v>1.5619999999999998</v>
      </c>
      <c r="G89" s="155">
        <f>5%*D89</f>
        <v>0.71</v>
      </c>
      <c r="H89" s="26">
        <f t="shared" si="23"/>
        <v>2.2719999999999998</v>
      </c>
      <c r="I89" s="19">
        <v>0</v>
      </c>
      <c r="J89" s="19"/>
      <c r="K89" s="19"/>
      <c r="L89" s="19"/>
      <c r="M89" s="19">
        <f t="shared" si="26"/>
        <v>0</v>
      </c>
      <c r="N89" s="35" t="s">
        <v>88</v>
      </c>
      <c r="O89" s="36" t="s">
        <v>274</v>
      </c>
      <c r="P89" s="235">
        <f t="shared" si="24"/>
        <v>118257600</v>
      </c>
      <c r="Q89" s="16"/>
      <c r="S89" s="1" t="s">
        <v>592</v>
      </c>
    </row>
    <row r="90" spans="1:20" ht="43.5" customHeight="1" x14ac:dyDescent="0.3">
      <c r="A90" s="108"/>
      <c r="B90" s="128" t="s">
        <v>61</v>
      </c>
      <c r="C90" s="126" t="s">
        <v>35</v>
      </c>
      <c r="D90" s="127">
        <v>36.72</v>
      </c>
      <c r="E90" s="142" t="s">
        <v>183</v>
      </c>
      <c r="F90" s="127">
        <f>7%*D90</f>
        <v>2.5704000000000002</v>
      </c>
      <c r="G90" s="155">
        <f>5%*D90</f>
        <v>1.8360000000000001</v>
      </c>
      <c r="H90" s="127">
        <f t="shared" si="23"/>
        <v>4.4064000000000005</v>
      </c>
      <c r="I90" s="143">
        <v>0</v>
      </c>
      <c r="J90" s="143">
        <v>0</v>
      </c>
      <c r="K90" s="143">
        <v>0</v>
      </c>
      <c r="L90" s="143">
        <v>0</v>
      </c>
      <c r="M90" s="143">
        <f t="shared" si="26"/>
        <v>0</v>
      </c>
      <c r="N90" s="157" t="s">
        <v>254</v>
      </c>
      <c r="O90" s="158" t="s">
        <v>137</v>
      </c>
      <c r="P90" s="236">
        <f t="shared" si="24"/>
        <v>305804160</v>
      </c>
      <c r="Q90" s="87"/>
      <c r="S90" s="217" t="s">
        <v>601</v>
      </c>
      <c r="T90" s="216" t="s">
        <v>602</v>
      </c>
    </row>
    <row r="91" spans="1:20" ht="17.25" customHeight="1" x14ac:dyDescent="0.3">
      <c r="A91" s="75"/>
      <c r="B91" s="136" t="s">
        <v>351</v>
      </c>
      <c r="C91" s="137"/>
      <c r="D91" s="138">
        <f>SUM(D85:D90)</f>
        <v>193.47</v>
      </c>
      <c r="E91" s="139"/>
      <c r="F91" s="138">
        <f t="shared" ref="F91:M91" si="27">SUM(F85:F90)</f>
        <v>21.461900000000004</v>
      </c>
      <c r="G91" s="140">
        <f t="shared" si="27"/>
        <v>37.069499999999998</v>
      </c>
      <c r="H91" s="138">
        <f t="shared" si="27"/>
        <v>58.531399999999998</v>
      </c>
      <c r="I91" s="140">
        <f t="shared" si="27"/>
        <v>0</v>
      </c>
      <c r="J91" s="140">
        <f t="shared" si="27"/>
        <v>0</v>
      </c>
      <c r="K91" s="140">
        <f t="shared" si="27"/>
        <v>5</v>
      </c>
      <c r="L91" s="140">
        <f t="shared" si="27"/>
        <v>12</v>
      </c>
      <c r="M91" s="140">
        <f t="shared" si="27"/>
        <v>17</v>
      </c>
      <c r="N91" s="76"/>
      <c r="O91" s="77"/>
      <c r="P91" s="237">
        <f>SUM(P85:P90)</f>
        <v>6174295920</v>
      </c>
      <c r="Q91" s="75"/>
    </row>
    <row r="92" spans="1:20" ht="13.5" customHeight="1" x14ac:dyDescent="0.3">
      <c r="A92" s="63">
        <v>7</v>
      </c>
      <c r="B92" s="8" t="s">
        <v>117</v>
      </c>
      <c r="C92" s="10"/>
      <c r="D92" s="90"/>
      <c r="E92" s="67"/>
      <c r="F92" s="66"/>
      <c r="G92" s="218"/>
      <c r="H92" s="66"/>
      <c r="I92" s="82"/>
      <c r="J92" s="82"/>
      <c r="K92" s="82"/>
      <c r="L92" s="82"/>
      <c r="M92" s="82"/>
      <c r="N92" s="69"/>
      <c r="O92" s="70"/>
      <c r="P92" s="233"/>
      <c r="Q92" s="68"/>
    </row>
    <row r="93" spans="1:20" ht="24.75" customHeight="1" x14ac:dyDescent="0.3">
      <c r="A93" s="16"/>
      <c r="B93" s="14" t="s">
        <v>57</v>
      </c>
      <c r="C93" s="15" t="s">
        <v>22</v>
      </c>
      <c r="D93" s="26">
        <v>296.95</v>
      </c>
      <c r="E93" s="101" t="s">
        <v>203</v>
      </c>
      <c r="F93" s="96">
        <f>2%*D93</f>
        <v>5.9390000000000001</v>
      </c>
      <c r="G93" s="223"/>
      <c r="H93" s="96">
        <f t="shared" ref="H93:H101" si="28">SUM(F93:G93)</f>
        <v>5.9390000000000001</v>
      </c>
      <c r="I93" s="97">
        <v>0</v>
      </c>
      <c r="J93" s="97"/>
      <c r="K93" s="97">
        <v>0</v>
      </c>
      <c r="L93" s="97">
        <v>5</v>
      </c>
      <c r="M93" s="97">
        <f>SUM(I93:L93)</f>
        <v>5</v>
      </c>
      <c r="N93" s="35"/>
      <c r="O93" s="40" t="s">
        <v>211</v>
      </c>
      <c r="P93" s="238">
        <f t="shared" ref="P93:P102" si="29">G93*0.3*30%*50000000</f>
        <v>0</v>
      </c>
      <c r="Q93" s="16"/>
    </row>
    <row r="94" spans="1:20" ht="15" customHeight="1" x14ac:dyDescent="0.3">
      <c r="A94" s="16"/>
      <c r="B94" s="14"/>
      <c r="C94" s="15"/>
      <c r="D94" s="26"/>
      <c r="E94" s="101" t="s">
        <v>184</v>
      </c>
      <c r="F94" s="96">
        <f>1%*D93</f>
        <v>2.9695</v>
      </c>
      <c r="G94" s="97">
        <f>15%*D93</f>
        <v>44.542499999999997</v>
      </c>
      <c r="H94" s="96">
        <f>SUM(F94:G94)</f>
        <v>47.512</v>
      </c>
      <c r="I94" s="97">
        <v>0</v>
      </c>
      <c r="J94" s="97"/>
      <c r="K94" s="97">
        <v>0</v>
      </c>
      <c r="L94" s="97">
        <v>3</v>
      </c>
      <c r="M94" s="97">
        <f>SUM(I94:L94)</f>
        <v>3</v>
      </c>
      <c r="N94" s="35"/>
      <c r="O94" s="40"/>
      <c r="P94" s="238">
        <f t="shared" si="29"/>
        <v>200441249.99999994</v>
      </c>
      <c r="Q94" s="16"/>
    </row>
    <row r="95" spans="1:20" ht="32.25" customHeight="1" x14ac:dyDescent="0.3">
      <c r="A95" s="16"/>
      <c r="B95" s="14" t="s">
        <v>58</v>
      </c>
      <c r="C95" s="15" t="s">
        <v>42</v>
      </c>
      <c r="D95" s="26">
        <v>248.5</v>
      </c>
      <c r="E95" s="101" t="s">
        <v>203</v>
      </c>
      <c r="F95" s="96">
        <f>3%*D95</f>
        <v>7.4550000000000001</v>
      </c>
      <c r="G95" s="97"/>
      <c r="H95" s="96">
        <f t="shared" si="28"/>
        <v>7.4550000000000001</v>
      </c>
      <c r="I95" s="97">
        <v>0</v>
      </c>
      <c r="J95" s="97"/>
      <c r="K95" s="97">
        <v>0</v>
      </c>
      <c r="L95" s="97">
        <v>4</v>
      </c>
      <c r="M95" s="97">
        <f>SUM(I95:L95)</f>
        <v>4</v>
      </c>
      <c r="N95" s="35"/>
      <c r="O95" s="40" t="s">
        <v>137</v>
      </c>
      <c r="P95" s="238">
        <f t="shared" si="29"/>
        <v>0</v>
      </c>
      <c r="Q95" s="16"/>
      <c r="R95" s="1" t="s">
        <v>333</v>
      </c>
      <c r="S95" s="1" t="s">
        <v>593</v>
      </c>
    </row>
    <row r="96" spans="1:20" ht="14.25" customHeight="1" x14ac:dyDescent="0.3">
      <c r="A96" s="16"/>
      <c r="B96" s="14"/>
      <c r="C96" s="15"/>
      <c r="D96" s="26"/>
      <c r="E96" s="101" t="s">
        <v>184</v>
      </c>
      <c r="F96" s="96">
        <f>5%*D95</f>
        <v>12.425000000000001</v>
      </c>
      <c r="G96" s="97">
        <f>7%*D95</f>
        <v>17.395000000000003</v>
      </c>
      <c r="H96" s="96">
        <f>SUM(F96:G96)</f>
        <v>29.820000000000004</v>
      </c>
      <c r="I96" s="97"/>
      <c r="J96" s="97"/>
      <c r="K96" s="97"/>
      <c r="L96" s="97"/>
      <c r="M96" s="97"/>
      <c r="N96" s="35"/>
      <c r="O96" s="40"/>
      <c r="P96" s="238">
        <f t="shared" si="29"/>
        <v>78277500.000000015</v>
      </c>
      <c r="Q96" s="16"/>
      <c r="S96" s="1" t="s">
        <v>594</v>
      </c>
    </row>
    <row r="97" spans="1:19" ht="22.5" customHeight="1" x14ac:dyDescent="0.3">
      <c r="A97" s="16"/>
      <c r="B97" s="14" t="s">
        <v>59</v>
      </c>
      <c r="C97" s="15" t="s">
        <v>21</v>
      </c>
      <c r="D97" s="18">
        <v>156.94999999999999</v>
      </c>
      <c r="E97" s="101" t="s">
        <v>203</v>
      </c>
      <c r="F97" s="225">
        <f>5%*D97</f>
        <v>7.8475000000000001</v>
      </c>
      <c r="G97" s="145"/>
      <c r="H97" s="96">
        <f t="shared" si="28"/>
        <v>7.8475000000000001</v>
      </c>
      <c r="I97" s="97">
        <v>0</v>
      </c>
      <c r="J97" s="97"/>
      <c r="K97" s="97">
        <v>0</v>
      </c>
      <c r="L97" s="97">
        <v>3</v>
      </c>
      <c r="M97" s="97">
        <f>SUM(I97:L97)</f>
        <v>3</v>
      </c>
      <c r="N97" s="35"/>
      <c r="O97" s="36"/>
      <c r="P97" s="238">
        <f t="shared" si="29"/>
        <v>0</v>
      </c>
      <c r="Q97" s="16"/>
      <c r="S97" s="1" t="s">
        <v>595</v>
      </c>
    </row>
    <row r="98" spans="1:19" ht="15.75" customHeight="1" x14ac:dyDescent="0.3">
      <c r="A98" s="16"/>
      <c r="B98" s="14"/>
      <c r="C98" s="15"/>
      <c r="D98" s="18"/>
      <c r="E98" s="101" t="s">
        <v>184</v>
      </c>
      <c r="F98" s="96">
        <f>5%*D97</f>
        <v>7.8475000000000001</v>
      </c>
      <c r="G98" s="97"/>
      <c r="H98" s="96">
        <f>SUM(F98:G98)</f>
        <v>7.8475000000000001</v>
      </c>
      <c r="I98" s="97"/>
      <c r="J98" s="97"/>
      <c r="K98" s="97"/>
      <c r="L98" s="97"/>
      <c r="M98" s="97"/>
      <c r="N98" s="35"/>
      <c r="O98" s="36"/>
      <c r="P98" s="238">
        <f t="shared" si="29"/>
        <v>0</v>
      </c>
      <c r="Q98" s="16"/>
    </row>
    <row r="99" spans="1:19" ht="24" customHeight="1" x14ac:dyDescent="0.3">
      <c r="A99" s="16"/>
      <c r="B99" s="14" t="s">
        <v>60</v>
      </c>
      <c r="C99" s="15" t="s">
        <v>43</v>
      </c>
      <c r="D99" s="26">
        <v>455.8</v>
      </c>
      <c r="E99" s="101" t="s">
        <v>221</v>
      </c>
      <c r="F99" s="96">
        <f>5%*D99</f>
        <v>22.790000000000003</v>
      </c>
      <c r="G99" s="97">
        <v>0</v>
      </c>
      <c r="H99" s="96">
        <f t="shared" si="28"/>
        <v>22.790000000000003</v>
      </c>
      <c r="I99" s="97">
        <v>0</v>
      </c>
      <c r="J99" s="97"/>
      <c r="K99" s="97">
        <v>0</v>
      </c>
      <c r="L99" s="97">
        <v>2</v>
      </c>
      <c r="M99" s="97">
        <f>SUM(I99:L99)</f>
        <v>2</v>
      </c>
      <c r="N99" s="35"/>
      <c r="O99" s="36"/>
      <c r="P99" s="238">
        <f t="shared" si="29"/>
        <v>0</v>
      </c>
      <c r="Q99" s="16"/>
    </row>
    <row r="100" spans="1:19" ht="20.25" customHeight="1" x14ac:dyDescent="0.3">
      <c r="A100" s="16"/>
      <c r="B100" s="14"/>
      <c r="C100" s="15"/>
      <c r="D100" s="26"/>
      <c r="E100" s="101" t="s">
        <v>184</v>
      </c>
      <c r="F100" s="96">
        <f>5%*D99</f>
        <v>22.790000000000003</v>
      </c>
      <c r="G100" s="96">
        <f>1%*D99</f>
        <v>4.5579999999999998</v>
      </c>
      <c r="H100" s="96">
        <f>SUM(F100:G100)</f>
        <v>27.348000000000003</v>
      </c>
      <c r="I100" s="97"/>
      <c r="J100" s="97"/>
      <c r="K100" s="97"/>
      <c r="L100" s="97"/>
      <c r="M100" s="97"/>
      <c r="N100" s="35"/>
      <c r="O100" s="36"/>
      <c r="P100" s="238">
        <f t="shared" si="29"/>
        <v>20511000</v>
      </c>
      <c r="Q100" s="16"/>
    </row>
    <row r="101" spans="1:19" ht="23.25" customHeight="1" x14ac:dyDescent="0.3">
      <c r="A101" s="16"/>
      <c r="B101" s="14" t="s">
        <v>61</v>
      </c>
      <c r="C101" s="15" t="s">
        <v>44</v>
      </c>
      <c r="D101" s="26">
        <v>87.95</v>
      </c>
      <c r="E101" s="101" t="s">
        <v>203</v>
      </c>
      <c r="F101" s="26">
        <f>10%*D101</f>
        <v>8.7949999999999999</v>
      </c>
      <c r="G101" s="219">
        <v>0</v>
      </c>
      <c r="H101" s="26">
        <f t="shared" si="28"/>
        <v>8.7949999999999999</v>
      </c>
      <c r="I101" s="19">
        <v>0</v>
      </c>
      <c r="J101" s="19"/>
      <c r="K101" s="19">
        <v>2</v>
      </c>
      <c r="L101" s="19">
        <v>3</v>
      </c>
      <c r="M101" s="19">
        <f t="shared" ref="M101:M104" si="30">SUM(I101:L101)</f>
        <v>5</v>
      </c>
      <c r="N101" s="35"/>
      <c r="O101" s="36"/>
      <c r="P101" s="238">
        <f t="shared" si="29"/>
        <v>0</v>
      </c>
      <c r="Q101" s="16"/>
    </row>
    <row r="102" spans="1:19" ht="18.75" customHeight="1" x14ac:dyDescent="0.3">
      <c r="A102" s="87"/>
      <c r="B102" s="14"/>
      <c r="C102" s="15"/>
      <c r="D102" s="26"/>
      <c r="E102" s="101" t="s">
        <v>184</v>
      </c>
      <c r="F102" s="26"/>
      <c r="G102" s="220">
        <f>5%*D101</f>
        <v>4.3975</v>
      </c>
      <c r="H102" s="26">
        <f>SUM(F102:G102)</f>
        <v>4.3975</v>
      </c>
      <c r="I102" s="97">
        <v>0</v>
      </c>
      <c r="J102" s="97">
        <v>0</v>
      </c>
      <c r="K102" s="97">
        <v>0</v>
      </c>
      <c r="L102" s="97">
        <v>0</v>
      </c>
      <c r="M102" s="97">
        <f t="shared" si="30"/>
        <v>0</v>
      </c>
      <c r="N102" s="35"/>
      <c r="O102" s="36"/>
      <c r="P102" s="238">
        <f t="shared" si="29"/>
        <v>19788750</v>
      </c>
      <c r="Q102" s="16"/>
    </row>
    <row r="103" spans="1:19" ht="18.75" customHeight="1" x14ac:dyDescent="0.3">
      <c r="A103" s="75"/>
      <c r="B103" s="72" t="s">
        <v>350</v>
      </c>
      <c r="C103" s="72"/>
      <c r="D103" s="73">
        <f>SUM(D87:D102)</f>
        <v>1575.19</v>
      </c>
      <c r="E103" s="74"/>
      <c r="F103" s="73">
        <f>SUM(F79:F102)</f>
        <v>162.32369999999997</v>
      </c>
      <c r="G103" s="83">
        <f>SUM(G79:G102)</f>
        <v>172.667</v>
      </c>
      <c r="H103" s="73">
        <f>SUM(H79:H102)</f>
        <v>334.99070000000012</v>
      </c>
      <c r="I103" s="83">
        <f>SUM(I87:I102)</f>
        <v>0</v>
      </c>
      <c r="J103" s="83">
        <f>SUM(J87:J102)</f>
        <v>0</v>
      </c>
      <c r="K103" s="83">
        <f>SUM(K87:K102)</f>
        <v>7</v>
      </c>
      <c r="L103" s="83">
        <f>SUM(L87:L102)</f>
        <v>37</v>
      </c>
      <c r="M103" s="83">
        <f>SUM(M85:M102)</f>
        <v>56</v>
      </c>
      <c r="N103" s="76"/>
      <c r="O103" s="77"/>
      <c r="P103" s="184">
        <f>SUM(P92:P102)</f>
        <v>319018499.99999994</v>
      </c>
      <c r="Q103" s="75"/>
    </row>
    <row r="104" spans="1:19" ht="7.5" customHeight="1" x14ac:dyDescent="0.3">
      <c r="A104" s="87"/>
      <c r="B104" s="55"/>
      <c r="C104" s="56"/>
      <c r="D104" s="57"/>
      <c r="E104" s="132"/>
      <c r="F104" s="124"/>
      <c r="G104" s="124"/>
      <c r="H104" s="124">
        <f>SUM(F104:G104)</f>
        <v>0</v>
      </c>
      <c r="I104" s="133">
        <v>0</v>
      </c>
      <c r="J104" s="133">
        <v>0</v>
      </c>
      <c r="K104" s="124">
        <v>0</v>
      </c>
      <c r="L104" s="133">
        <v>0</v>
      </c>
      <c r="M104" s="133">
        <f t="shared" si="30"/>
        <v>0</v>
      </c>
      <c r="N104" s="80"/>
      <c r="O104" s="81"/>
      <c r="P104" s="239"/>
      <c r="Q104" s="87"/>
    </row>
    <row r="105" spans="1:19" ht="4.5" customHeight="1" x14ac:dyDescent="0.3">
      <c r="F105" s="2"/>
      <c r="G105" s="2"/>
      <c r="H105" s="2"/>
      <c r="I105" s="2"/>
      <c r="J105" s="2"/>
      <c r="K105" s="2"/>
      <c r="L105" s="2"/>
      <c r="M105" s="2"/>
    </row>
    <row r="106" spans="1:19" ht="14.25" customHeight="1" x14ac:dyDescent="0.3">
      <c r="F106" s="2"/>
      <c r="G106" s="2"/>
      <c r="H106" s="2"/>
      <c r="I106" s="2"/>
      <c r="J106" s="2" t="s">
        <v>628</v>
      </c>
      <c r="K106" s="2"/>
      <c r="L106" s="2"/>
      <c r="M106" s="2"/>
    </row>
    <row r="107" spans="1:19" ht="12" customHeight="1" x14ac:dyDescent="0.3">
      <c r="A107" s="395" t="s">
        <v>80</v>
      </c>
      <c r="B107" s="395"/>
      <c r="C107" s="395"/>
      <c r="D107" s="395"/>
    </row>
    <row r="108" spans="1:19" x14ac:dyDescent="0.3">
      <c r="A108" s="395" t="s">
        <v>81</v>
      </c>
      <c r="B108" s="395"/>
      <c r="C108" s="395"/>
      <c r="D108" s="395"/>
      <c r="J108" s="1" t="s">
        <v>85</v>
      </c>
    </row>
    <row r="109" spans="1:19" x14ac:dyDescent="0.3">
      <c r="A109" s="395" t="s">
        <v>82</v>
      </c>
      <c r="B109" s="395"/>
      <c r="C109" s="395"/>
      <c r="D109" s="395"/>
      <c r="J109" s="3" t="s">
        <v>86</v>
      </c>
      <c r="K109" s="1" t="s">
        <v>87</v>
      </c>
      <c r="O109" s="1" t="s">
        <v>90</v>
      </c>
    </row>
    <row r="110" spans="1:19" x14ac:dyDescent="0.3">
      <c r="A110" s="395" t="s">
        <v>83</v>
      </c>
      <c r="B110" s="395"/>
      <c r="C110" s="395"/>
      <c r="D110" s="395"/>
      <c r="K110" s="1" t="s">
        <v>91</v>
      </c>
    </row>
    <row r="111" spans="1:19" ht="9.75" customHeight="1" x14ac:dyDescent="0.3"/>
    <row r="112" spans="1:19" x14ac:dyDescent="0.3">
      <c r="J112" s="3" t="s">
        <v>88</v>
      </c>
      <c r="K112" s="1" t="s">
        <v>89</v>
      </c>
      <c r="O112" s="1" t="s">
        <v>90</v>
      </c>
    </row>
    <row r="113" spans="1:15" x14ac:dyDescent="0.3">
      <c r="K113" s="1" t="s">
        <v>92</v>
      </c>
    </row>
    <row r="114" spans="1:15" ht="13.5" customHeight="1" x14ac:dyDescent="0.3">
      <c r="A114" s="398" t="s">
        <v>175</v>
      </c>
      <c r="B114" s="398"/>
      <c r="C114" s="398"/>
      <c r="D114" s="398"/>
    </row>
    <row r="115" spans="1:15" x14ac:dyDescent="0.3">
      <c r="A115" s="395" t="s">
        <v>190</v>
      </c>
      <c r="B115" s="395"/>
      <c r="C115" s="395"/>
      <c r="D115" s="395"/>
      <c r="J115" s="1" t="s">
        <v>254</v>
      </c>
      <c r="K115" s="1" t="s">
        <v>255</v>
      </c>
      <c r="O115" s="1" t="s">
        <v>90</v>
      </c>
    </row>
    <row r="116" spans="1:15" x14ac:dyDescent="0.3">
      <c r="K116" s="1" t="s">
        <v>256</v>
      </c>
    </row>
  </sheetData>
  <mergeCells count="21">
    <mergeCell ref="A108:D108"/>
    <mergeCell ref="A109:D109"/>
    <mergeCell ref="A110:D110"/>
    <mergeCell ref="A114:D114"/>
    <mergeCell ref="A115:D115"/>
    <mergeCell ref="A107:D107"/>
    <mergeCell ref="A1:Q1"/>
    <mergeCell ref="A2:Q2"/>
    <mergeCell ref="A6:A7"/>
    <mergeCell ref="B6:C6"/>
    <mergeCell ref="D6:D7"/>
    <mergeCell ref="E6:E7"/>
    <mergeCell ref="F6:H6"/>
    <mergeCell ref="I6:M6"/>
    <mergeCell ref="N6:O7"/>
    <mergeCell ref="P6:P7"/>
    <mergeCell ref="Q6:Q7"/>
    <mergeCell ref="B7:C7"/>
    <mergeCell ref="B24:C24"/>
    <mergeCell ref="O26:O29"/>
    <mergeCell ref="B30:C30"/>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T115"/>
  <sheetViews>
    <sheetView view="pageBreakPreview" topLeftCell="A70" zoomScale="96" zoomScaleNormal="100" zoomScaleSheetLayoutView="96" workbookViewId="0">
      <selection activeCell="T77" sqref="T77"/>
    </sheetView>
  </sheetViews>
  <sheetFormatPr defaultColWidth="9.1796875" defaultRowHeight="14" x14ac:dyDescent="0.3"/>
  <cols>
    <col min="1" max="1" width="5.26953125" style="1" customWidth="1"/>
    <col min="2" max="2" width="2.1796875" style="1" customWidth="1"/>
    <col min="3" max="3" width="17.1796875" style="1" customWidth="1"/>
    <col min="4" max="4" width="9.1796875" style="1" customWidth="1"/>
    <col min="5" max="5" width="31.26953125" style="1" customWidth="1"/>
    <col min="6" max="6" width="11" style="1" bestFit="1" customWidth="1"/>
    <col min="7" max="7" width="8.81640625" style="1" customWidth="1"/>
    <col min="8" max="8" width="9" style="1" customWidth="1"/>
    <col min="9" max="9" width="6.7265625" style="1" customWidth="1"/>
    <col min="10" max="10" width="7" style="1" customWidth="1"/>
    <col min="11" max="12" width="7.54296875" style="1" customWidth="1"/>
    <col min="13" max="13" width="6.81640625" style="1" bestFit="1" customWidth="1"/>
    <col min="14" max="14" width="2.1796875" style="1" customWidth="1"/>
    <col min="15" max="15" width="17.54296875" style="1" customWidth="1"/>
    <col min="16" max="16" width="12.54296875" style="1" customWidth="1"/>
    <col min="17" max="17" width="8.81640625" style="1" customWidth="1"/>
    <col min="18" max="19" width="9.1796875" style="1"/>
    <col min="20" max="20" width="10.7265625" style="1" customWidth="1"/>
    <col min="21" max="16384" width="9.1796875" style="1"/>
  </cols>
  <sheetData>
    <row r="1" spans="1:20" x14ac:dyDescent="0.3">
      <c r="A1" s="385" t="s">
        <v>260</v>
      </c>
      <c r="B1" s="385"/>
      <c r="C1" s="385"/>
      <c r="D1" s="385"/>
      <c r="E1" s="385"/>
      <c r="F1" s="385"/>
      <c r="G1" s="385"/>
      <c r="H1" s="385"/>
      <c r="I1" s="385"/>
      <c r="J1" s="385"/>
      <c r="K1" s="385"/>
      <c r="L1" s="385"/>
      <c r="M1" s="385"/>
      <c r="N1" s="385"/>
      <c r="O1" s="385"/>
      <c r="P1" s="385"/>
      <c r="Q1" s="385"/>
    </row>
    <row r="2" spans="1:20" ht="14.25" customHeight="1" x14ac:dyDescent="0.3">
      <c r="A2" s="385" t="s">
        <v>261</v>
      </c>
      <c r="B2" s="385"/>
      <c r="C2" s="385"/>
      <c r="D2" s="385"/>
      <c r="E2" s="385"/>
      <c r="F2" s="385"/>
      <c r="G2" s="385"/>
      <c r="H2" s="385"/>
      <c r="I2" s="385"/>
      <c r="J2" s="385"/>
      <c r="K2" s="385"/>
      <c r="L2" s="385"/>
      <c r="M2" s="385"/>
      <c r="N2" s="385"/>
      <c r="O2" s="385"/>
      <c r="P2" s="385"/>
      <c r="Q2" s="385"/>
    </row>
    <row r="3" spans="1:20" ht="14.25" customHeight="1" x14ac:dyDescent="0.3">
      <c r="A3" s="1" t="s">
        <v>1</v>
      </c>
      <c r="C3" s="1" t="s">
        <v>603</v>
      </c>
    </row>
    <row r="4" spans="1:20" ht="14.25" customHeight="1" x14ac:dyDescent="0.3">
      <c r="A4" s="1" t="s">
        <v>2</v>
      </c>
      <c r="C4" s="1" t="s">
        <v>635</v>
      </c>
      <c r="D4" s="4"/>
    </row>
    <row r="5" spans="1:20" ht="6" customHeight="1" x14ac:dyDescent="0.3"/>
    <row r="6" spans="1:20" x14ac:dyDescent="0.3">
      <c r="A6" s="386" t="s">
        <v>3</v>
      </c>
      <c r="B6" s="388" t="s">
        <v>4</v>
      </c>
      <c r="C6" s="388"/>
      <c r="D6" s="389" t="s">
        <v>259</v>
      </c>
      <c r="E6" s="391" t="s">
        <v>7</v>
      </c>
      <c r="F6" s="393" t="s">
        <v>170</v>
      </c>
      <c r="G6" s="393"/>
      <c r="H6" s="393"/>
      <c r="I6" s="393" t="s">
        <v>12</v>
      </c>
      <c r="J6" s="393"/>
      <c r="K6" s="393"/>
      <c r="L6" s="393"/>
      <c r="M6" s="393"/>
      <c r="N6" s="391" t="s">
        <v>17</v>
      </c>
      <c r="O6" s="391"/>
      <c r="P6" s="391" t="s">
        <v>258</v>
      </c>
      <c r="Q6" s="386" t="s">
        <v>192</v>
      </c>
    </row>
    <row r="7" spans="1:20" x14ac:dyDescent="0.3">
      <c r="A7" s="387"/>
      <c r="B7" s="394" t="s">
        <v>5</v>
      </c>
      <c r="C7" s="394"/>
      <c r="D7" s="390"/>
      <c r="E7" s="392"/>
      <c r="F7" s="147" t="s">
        <v>9</v>
      </c>
      <c r="G7" s="147" t="s">
        <v>10</v>
      </c>
      <c r="H7" s="147" t="s">
        <v>11</v>
      </c>
      <c r="I7" s="147" t="s">
        <v>16</v>
      </c>
      <c r="J7" s="147" t="s">
        <v>13</v>
      </c>
      <c r="K7" s="147" t="s">
        <v>14</v>
      </c>
      <c r="L7" s="148" t="s">
        <v>257</v>
      </c>
      <c r="M7" s="147" t="s">
        <v>11</v>
      </c>
      <c r="N7" s="392"/>
      <c r="O7" s="392"/>
      <c r="P7" s="392"/>
      <c r="Q7" s="387"/>
    </row>
    <row r="8" spans="1:20" ht="9" customHeight="1" x14ac:dyDescent="0.3">
      <c r="A8" s="5"/>
      <c r="B8" s="8"/>
      <c r="C8" s="10"/>
      <c r="D8" s="5"/>
      <c r="E8" s="5"/>
      <c r="F8" s="5"/>
      <c r="G8" s="5"/>
      <c r="H8" s="5"/>
      <c r="I8" s="5"/>
      <c r="J8" s="5"/>
      <c r="K8" s="5"/>
      <c r="L8" s="5"/>
      <c r="M8" s="5"/>
      <c r="N8" s="8"/>
      <c r="O8" s="10"/>
      <c r="P8" s="10"/>
      <c r="Q8" s="5"/>
    </row>
    <row r="9" spans="1:20" ht="18.75" customHeight="1" x14ac:dyDescent="0.3">
      <c r="A9" s="13">
        <v>1</v>
      </c>
      <c r="B9" s="14" t="s">
        <v>20</v>
      </c>
      <c r="C9" s="15"/>
      <c r="D9" s="16"/>
      <c r="E9" s="47"/>
      <c r="F9" s="16"/>
      <c r="G9" s="16"/>
      <c r="H9" s="16"/>
      <c r="I9" s="16"/>
      <c r="J9" s="16"/>
      <c r="K9" s="16"/>
      <c r="L9" s="16"/>
      <c r="M9" s="16"/>
      <c r="N9" s="35"/>
      <c r="O9" s="36"/>
      <c r="P9" s="226"/>
      <c r="Q9" s="16"/>
    </row>
    <row r="10" spans="1:20" ht="24" customHeight="1" x14ac:dyDescent="0.3">
      <c r="A10" s="13"/>
      <c r="B10" s="17" t="s">
        <v>57</v>
      </c>
      <c r="C10" s="15" t="s">
        <v>21</v>
      </c>
      <c r="D10" s="18">
        <v>418.06</v>
      </c>
      <c r="E10" s="47" t="s">
        <v>36</v>
      </c>
      <c r="F10" s="26">
        <f>3%*D10</f>
        <v>12.5418</v>
      </c>
      <c r="G10" s="26">
        <f>1%*D10</f>
        <v>4.1806000000000001</v>
      </c>
      <c r="H10" s="26">
        <f>SUM(F10:G10)</f>
        <v>16.7224</v>
      </c>
      <c r="I10" s="19">
        <v>0</v>
      </c>
      <c r="J10" s="19"/>
      <c r="K10" s="19">
        <v>3</v>
      </c>
      <c r="L10" s="19">
        <v>4</v>
      </c>
      <c r="M10" s="20">
        <f>SUM(I10:L10)</f>
        <v>7</v>
      </c>
      <c r="N10" s="37"/>
      <c r="O10" s="36"/>
      <c r="P10" s="227">
        <f t="shared" ref="P10:P23" si="0">G10*0.261*12%*0</f>
        <v>0</v>
      </c>
      <c r="Q10" s="16"/>
      <c r="S10" s="1" t="s">
        <v>333</v>
      </c>
      <c r="T10" s="1" t="s">
        <v>341</v>
      </c>
    </row>
    <row r="11" spans="1:20" ht="18.75" customHeight="1" x14ac:dyDescent="0.3">
      <c r="A11" s="13"/>
      <c r="B11" s="14"/>
      <c r="C11" s="15"/>
      <c r="D11" s="18"/>
      <c r="E11" s="47" t="s">
        <v>37</v>
      </c>
      <c r="F11" s="26">
        <f>2%*D10</f>
        <v>8.3612000000000002</v>
      </c>
      <c r="G11" s="26">
        <v>2</v>
      </c>
      <c r="H11" s="26">
        <f>SUM(F11:G11)</f>
        <v>10.3612</v>
      </c>
      <c r="I11" s="19">
        <v>0</v>
      </c>
      <c r="J11" s="19"/>
      <c r="K11" s="19"/>
      <c r="L11" s="19">
        <v>3</v>
      </c>
      <c r="M11" s="20">
        <f t="shared" ref="M11:M23" si="1">SUM(I11:L11)</f>
        <v>3</v>
      </c>
      <c r="N11" s="37" t="s">
        <v>51</v>
      </c>
      <c r="O11" s="38" t="s">
        <v>50</v>
      </c>
      <c r="P11" s="227">
        <f t="shared" si="0"/>
        <v>0</v>
      </c>
      <c r="Q11" s="16"/>
    </row>
    <row r="12" spans="1:20" ht="18.75" customHeight="1" x14ac:dyDescent="0.3">
      <c r="A12" s="13"/>
      <c r="B12" s="14"/>
      <c r="C12" s="15"/>
      <c r="D12" s="18"/>
      <c r="E12" s="47" t="s">
        <v>38</v>
      </c>
      <c r="F12" s="26">
        <f>1%*D10</f>
        <v>4.1806000000000001</v>
      </c>
      <c r="G12" s="26">
        <v>4</v>
      </c>
      <c r="H12" s="26">
        <f>SUM(F12:G12)</f>
        <v>8.1806000000000001</v>
      </c>
      <c r="I12" s="19">
        <v>0</v>
      </c>
      <c r="J12" s="19"/>
      <c r="K12" s="19">
        <v>3</v>
      </c>
      <c r="L12" s="19">
        <v>4</v>
      </c>
      <c r="M12" s="20">
        <f t="shared" si="1"/>
        <v>7</v>
      </c>
      <c r="N12" s="37" t="s">
        <v>51</v>
      </c>
      <c r="O12" s="36" t="s">
        <v>632</v>
      </c>
      <c r="P12" s="227">
        <f t="shared" si="0"/>
        <v>0</v>
      </c>
      <c r="Q12" s="16"/>
      <c r="S12" s="1" t="s">
        <v>343</v>
      </c>
    </row>
    <row r="13" spans="1:20" ht="28.5" customHeight="1" x14ac:dyDescent="0.3">
      <c r="A13" s="13"/>
      <c r="B13" s="14"/>
      <c r="C13" s="15"/>
      <c r="D13" s="18"/>
      <c r="E13" s="48" t="s">
        <v>39</v>
      </c>
      <c r="F13" s="96">
        <f>10%*D10</f>
        <v>41.806000000000004</v>
      </c>
      <c r="G13" s="96">
        <v>4</v>
      </c>
      <c r="H13" s="96">
        <f>SUM(F13:G13)</f>
        <v>45.806000000000004</v>
      </c>
      <c r="I13" s="97">
        <v>0</v>
      </c>
      <c r="J13" s="97">
        <v>0</v>
      </c>
      <c r="K13" s="97">
        <v>0</v>
      </c>
      <c r="L13" s="97">
        <v>3</v>
      </c>
      <c r="M13" s="121">
        <f t="shared" si="1"/>
        <v>3</v>
      </c>
      <c r="N13" s="39" t="s">
        <v>51</v>
      </c>
      <c r="O13" s="40" t="s">
        <v>48</v>
      </c>
      <c r="P13" s="227">
        <f t="shared" si="0"/>
        <v>0</v>
      </c>
      <c r="Q13" s="16"/>
      <c r="S13" s="1" t="s">
        <v>342</v>
      </c>
    </row>
    <row r="14" spans="1:20" ht="18.75" customHeight="1" x14ac:dyDescent="0.3">
      <c r="A14" s="13"/>
      <c r="B14" s="17" t="s">
        <v>58</v>
      </c>
      <c r="C14" s="15" t="s">
        <v>22</v>
      </c>
      <c r="D14" s="18">
        <v>827.82</v>
      </c>
      <c r="E14" s="47" t="s">
        <v>36</v>
      </c>
      <c r="F14" s="26">
        <f>4%*D14</f>
        <v>33.1128</v>
      </c>
      <c r="G14" s="26">
        <v>5</v>
      </c>
      <c r="H14" s="26">
        <f>SUM(F14:G14)</f>
        <v>38.1128</v>
      </c>
      <c r="I14" s="19">
        <v>0</v>
      </c>
      <c r="J14" s="19"/>
      <c r="K14" s="19">
        <v>5</v>
      </c>
      <c r="L14" s="19">
        <v>5</v>
      </c>
      <c r="M14" s="20">
        <f t="shared" si="1"/>
        <v>10</v>
      </c>
      <c r="N14" s="35" t="s">
        <v>51</v>
      </c>
      <c r="O14" s="41" t="s">
        <v>137</v>
      </c>
      <c r="P14" s="227">
        <f t="shared" si="0"/>
        <v>0</v>
      </c>
      <c r="Q14" s="16"/>
    </row>
    <row r="15" spans="1:20" ht="18.75" customHeight="1" x14ac:dyDescent="0.3">
      <c r="A15" s="13"/>
      <c r="B15" s="14"/>
      <c r="C15" s="15"/>
      <c r="D15" s="26"/>
      <c r="E15" s="47" t="s">
        <v>37</v>
      </c>
      <c r="F15" s="26">
        <f>4%*D14</f>
        <v>33.1128</v>
      </c>
      <c r="G15" s="26">
        <v>3</v>
      </c>
      <c r="H15" s="26">
        <f t="shared" ref="H15:H17" si="2">SUM(F15:G15)</f>
        <v>36.1128</v>
      </c>
      <c r="I15" s="19">
        <v>0</v>
      </c>
      <c r="J15" s="19"/>
      <c r="K15" s="19">
        <v>5</v>
      </c>
      <c r="L15" s="19">
        <v>5</v>
      </c>
      <c r="M15" s="20">
        <f t="shared" si="1"/>
        <v>10</v>
      </c>
      <c r="N15" s="35"/>
      <c r="O15" s="36"/>
      <c r="P15" s="227">
        <f t="shared" si="0"/>
        <v>0</v>
      </c>
      <c r="Q15" s="16"/>
      <c r="S15" s="1" t="s">
        <v>344</v>
      </c>
    </row>
    <row r="16" spans="1:20" ht="18.75" customHeight="1" x14ac:dyDescent="0.3">
      <c r="A16" s="13"/>
      <c r="B16" s="14"/>
      <c r="C16" s="15"/>
      <c r="D16" s="26"/>
      <c r="E16" s="47" t="s">
        <v>38</v>
      </c>
      <c r="F16" s="26">
        <f>3%*D14</f>
        <v>24.834600000000002</v>
      </c>
      <c r="G16" s="26">
        <v>4</v>
      </c>
      <c r="H16" s="26">
        <f t="shared" si="2"/>
        <v>28.834600000000002</v>
      </c>
      <c r="I16" s="19">
        <v>0</v>
      </c>
      <c r="J16" s="19"/>
      <c r="K16" s="19">
        <v>5</v>
      </c>
      <c r="L16" s="19">
        <v>3</v>
      </c>
      <c r="M16" s="20">
        <f t="shared" si="1"/>
        <v>8</v>
      </c>
      <c r="N16" s="35"/>
      <c r="O16" s="36"/>
      <c r="P16" s="227">
        <f t="shared" si="0"/>
        <v>0</v>
      </c>
      <c r="Q16" s="16"/>
      <c r="S16" s="1" t="s">
        <v>345</v>
      </c>
    </row>
    <row r="17" spans="1:19" ht="29.25" customHeight="1" x14ac:dyDescent="0.3">
      <c r="A17" s="54"/>
      <c r="B17" s="55"/>
      <c r="C17" s="56"/>
      <c r="D17" s="57"/>
      <c r="E17" s="58" t="s">
        <v>39</v>
      </c>
      <c r="F17" s="119">
        <f>5%*D14</f>
        <v>41.391000000000005</v>
      </c>
      <c r="G17" s="119">
        <f>5%*D14</f>
        <v>41.391000000000005</v>
      </c>
      <c r="H17" s="119">
        <f t="shared" si="2"/>
        <v>82.782000000000011</v>
      </c>
      <c r="I17" s="59">
        <v>0</v>
      </c>
      <c r="J17" s="59">
        <v>0</v>
      </c>
      <c r="K17" s="59">
        <v>0</v>
      </c>
      <c r="L17" s="59">
        <v>4</v>
      </c>
      <c r="M17" s="60">
        <f t="shared" si="1"/>
        <v>4</v>
      </c>
      <c r="N17" s="42"/>
      <c r="O17" s="38"/>
      <c r="P17" s="228">
        <f t="shared" si="0"/>
        <v>0</v>
      </c>
      <c r="Q17" s="29"/>
    </row>
    <row r="18" spans="1:19" ht="18.75" customHeight="1" x14ac:dyDescent="0.3">
      <c r="A18" s="54"/>
      <c r="B18" s="55" t="s">
        <v>59</v>
      </c>
      <c r="C18" s="56" t="s">
        <v>27</v>
      </c>
      <c r="D18" s="18">
        <v>113.45</v>
      </c>
      <c r="E18" s="47" t="s">
        <v>36</v>
      </c>
      <c r="F18" s="26">
        <f>40%*D18</f>
        <v>45.38</v>
      </c>
      <c r="G18" s="26">
        <v>3</v>
      </c>
      <c r="H18" s="26">
        <f>SUM(F18:G18)</f>
        <v>48.38</v>
      </c>
      <c r="I18" s="19">
        <v>0</v>
      </c>
      <c r="J18" s="19"/>
      <c r="K18" s="19">
        <v>2</v>
      </c>
      <c r="L18" s="19"/>
      <c r="M18" s="20">
        <f t="shared" si="1"/>
        <v>2</v>
      </c>
      <c r="N18" s="42"/>
      <c r="O18" s="38"/>
      <c r="P18" s="227">
        <f t="shared" si="0"/>
        <v>0</v>
      </c>
      <c r="Q18" s="29"/>
    </row>
    <row r="19" spans="1:19" ht="19.5" customHeight="1" x14ac:dyDescent="0.3">
      <c r="A19" s="54"/>
      <c r="B19" s="55"/>
      <c r="C19" s="56"/>
      <c r="D19" s="26"/>
      <c r="E19" s="47" t="s">
        <v>37</v>
      </c>
      <c r="F19" s="26">
        <f>3%*D18</f>
        <v>3.4034999999999997</v>
      </c>
      <c r="G19" s="26">
        <v>2</v>
      </c>
      <c r="H19" s="26">
        <f t="shared" ref="H19:H20" si="3">SUM(F19:G19)</f>
        <v>5.4034999999999993</v>
      </c>
      <c r="I19" s="19">
        <v>0</v>
      </c>
      <c r="J19" s="19"/>
      <c r="K19" s="19">
        <v>2</v>
      </c>
      <c r="L19" s="19">
        <v>1</v>
      </c>
      <c r="M19" s="20">
        <f t="shared" si="1"/>
        <v>3</v>
      </c>
      <c r="N19" s="42"/>
      <c r="O19" s="38"/>
      <c r="P19" s="227">
        <f t="shared" si="0"/>
        <v>0</v>
      </c>
      <c r="Q19" s="29"/>
    </row>
    <row r="20" spans="1:19" ht="18.75" customHeight="1" x14ac:dyDescent="0.3">
      <c r="A20" s="54"/>
      <c r="B20" s="55"/>
      <c r="C20" s="56"/>
      <c r="D20" s="26"/>
      <c r="E20" s="47" t="s">
        <v>38</v>
      </c>
      <c r="F20" s="26">
        <f>2%*D18</f>
        <v>2.2690000000000001</v>
      </c>
      <c r="G20" s="26">
        <f>10%*D18</f>
        <v>11.345000000000001</v>
      </c>
      <c r="H20" s="26">
        <f t="shared" si="3"/>
        <v>13.614000000000001</v>
      </c>
      <c r="I20" s="19">
        <v>0</v>
      </c>
      <c r="J20" s="19"/>
      <c r="K20" s="19">
        <v>4</v>
      </c>
      <c r="L20" s="19">
        <v>1</v>
      </c>
      <c r="M20" s="20">
        <f t="shared" si="1"/>
        <v>5</v>
      </c>
      <c r="N20" s="42"/>
      <c r="O20" s="38"/>
      <c r="P20" s="227">
        <f t="shared" si="0"/>
        <v>0</v>
      </c>
      <c r="Q20" s="29"/>
    </row>
    <row r="21" spans="1:19" ht="18.75" customHeight="1" x14ac:dyDescent="0.3">
      <c r="A21" s="13"/>
      <c r="B21" s="17" t="s">
        <v>60</v>
      </c>
      <c r="C21" s="15" t="s">
        <v>42</v>
      </c>
      <c r="D21" s="18">
        <v>526.28</v>
      </c>
      <c r="E21" s="47" t="s">
        <v>36</v>
      </c>
      <c r="F21" s="26">
        <f>40%*D18</f>
        <v>45.38</v>
      </c>
      <c r="G21" s="26">
        <f>5%*D21</f>
        <v>26.314</v>
      </c>
      <c r="H21" s="26">
        <f>SUM(F21:G21)</f>
        <v>71.694000000000003</v>
      </c>
      <c r="I21" s="19">
        <v>0</v>
      </c>
      <c r="J21" s="19"/>
      <c r="K21" s="19"/>
      <c r="L21" s="19">
        <v>4</v>
      </c>
      <c r="M21" s="20">
        <f t="shared" si="1"/>
        <v>4</v>
      </c>
      <c r="N21" s="35"/>
      <c r="O21" s="36"/>
      <c r="P21" s="227">
        <f t="shared" si="0"/>
        <v>0</v>
      </c>
      <c r="Q21" s="29"/>
    </row>
    <row r="22" spans="1:19" ht="18.75" customHeight="1" x14ac:dyDescent="0.3">
      <c r="A22" s="13"/>
      <c r="B22" s="14"/>
      <c r="C22" s="15"/>
      <c r="D22" s="26"/>
      <c r="E22" s="47" t="s">
        <v>37</v>
      </c>
      <c r="F22" s="26">
        <f>40%*D21</f>
        <v>210.512</v>
      </c>
      <c r="G22" s="26">
        <f>3%*D21</f>
        <v>15.788399999999999</v>
      </c>
      <c r="H22" s="26">
        <f t="shared" ref="H22:H23" si="4">SUM(F22:G22)</f>
        <v>226.3004</v>
      </c>
      <c r="I22" s="19">
        <v>0</v>
      </c>
      <c r="J22" s="19"/>
      <c r="K22" s="19"/>
      <c r="L22" s="19">
        <v>4</v>
      </c>
      <c r="M22" s="20">
        <f t="shared" si="1"/>
        <v>4</v>
      </c>
      <c r="N22" s="35"/>
      <c r="O22" s="36"/>
      <c r="P22" s="227">
        <f t="shared" si="0"/>
        <v>0</v>
      </c>
      <c r="Q22" s="29"/>
    </row>
    <row r="23" spans="1:19" ht="18.75" customHeight="1" x14ac:dyDescent="0.3">
      <c r="A23" s="13"/>
      <c r="B23" s="14"/>
      <c r="C23" s="15"/>
      <c r="D23" s="26"/>
      <c r="E23" s="47" t="s">
        <v>38</v>
      </c>
      <c r="F23" s="26">
        <f>1%*D21</f>
        <v>5.2627999999999995</v>
      </c>
      <c r="G23" s="26">
        <f>15%*D21</f>
        <v>78.941999999999993</v>
      </c>
      <c r="H23" s="26">
        <f t="shared" si="4"/>
        <v>84.204799999999992</v>
      </c>
      <c r="I23" s="19">
        <v>0</v>
      </c>
      <c r="J23" s="19"/>
      <c r="K23" s="19"/>
      <c r="L23" s="19">
        <v>3</v>
      </c>
      <c r="M23" s="20">
        <f t="shared" si="1"/>
        <v>3</v>
      </c>
      <c r="N23" s="80"/>
      <c r="O23" s="81"/>
      <c r="P23" s="227">
        <f t="shared" si="0"/>
        <v>0</v>
      </c>
      <c r="Q23" s="88"/>
    </row>
    <row r="24" spans="1:19" ht="18.75" customHeight="1" x14ac:dyDescent="0.3">
      <c r="A24" s="89"/>
      <c r="B24" s="402" t="s">
        <v>325</v>
      </c>
      <c r="C24" s="403"/>
      <c r="D24" s="73">
        <f>SUM(D9:D17)</f>
        <v>1245.8800000000001</v>
      </c>
      <c r="E24" s="74"/>
      <c r="F24" s="118">
        <f>SUM(F9:F17)</f>
        <v>199.3408</v>
      </c>
      <c r="G24" s="118">
        <f>SUM(G9:G17)</f>
        <v>67.571600000000004</v>
      </c>
      <c r="H24" s="118">
        <f>SUM(H9:H17)</f>
        <v>266.91239999999999</v>
      </c>
      <c r="I24" s="75">
        <f>SUM(I9:I17)</f>
        <v>0</v>
      </c>
      <c r="J24" s="75">
        <f>SUM(J9:J17)</f>
        <v>0</v>
      </c>
      <c r="K24" s="75">
        <f>SUM(K8:K23)</f>
        <v>29</v>
      </c>
      <c r="L24" s="160">
        <f>SUM(L10:L23)</f>
        <v>44</v>
      </c>
      <c r="M24" s="75">
        <f>SUM(M9:M17)</f>
        <v>52</v>
      </c>
      <c r="N24" s="76"/>
      <c r="O24" s="77"/>
      <c r="P24" s="229">
        <f>SUM(P10:P23)</f>
        <v>0</v>
      </c>
      <c r="Q24" s="75"/>
    </row>
    <row r="25" spans="1:19" ht="18.75" customHeight="1" x14ac:dyDescent="0.3">
      <c r="A25" s="63">
        <v>2</v>
      </c>
      <c r="B25" s="64" t="s">
        <v>23</v>
      </c>
      <c r="C25" s="65"/>
      <c r="D25" s="66"/>
      <c r="E25" s="67"/>
      <c r="F25" s="68"/>
      <c r="G25" s="68"/>
      <c r="H25" s="68"/>
      <c r="I25" s="68"/>
      <c r="J25" s="68"/>
      <c r="K25" s="68"/>
      <c r="L25" s="68"/>
      <c r="M25" s="68"/>
      <c r="N25" s="69"/>
      <c r="O25" s="70"/>
      <c r="P25" s="230"/>
      <c r="Q25" s="68"/>
    </row>
    <row r="26" spans="1:19" ht="18.75" customHeight="1" x14ac:dyDescent="0.3">
      <c r="A26" s="13"/>
      <c r="B26" s="14" t="s">
        <v>57</v>
      </c>
      <c r="C26" s="15" t="s">
        <v>22</v>
      </c>
      <c r="D26" s="26">
        <v>202.18</v>
      </c>
      <c r="E26" s="47" t="s">
        <v>629</v>
      </c>
      <c r="F26" s="19">
        <f>25*D26</f>
        <v>5054.5</v>
      </c>
      <c r="G26" s="19"/>
      <c r="H26" s="19">
        <f t="shared" ref="H26" si="5">SUM(F26:G26)</f>
        <v>5054.5</v>
      </c>
      <c r="I26" s="19">
        <v>0</v>
      </c>
      <c r="J26" s="19">
        <v>0</v>
      </c>
      <c r="K26" s="19">
        <v>0</v>
      </c>
      <c r="L26" s="19">
        <v>2</v>
      </c>
      <c r="M26" s="20">
        <f t="shared" ref="M26:M29" si="6">SUM(I26:L26)</f>
        <v>2</v>
      </c>
      <c r="N26" s="37" t="s">
        <v>51</v>
      </c>
      <c r="O26" s="404" t="s">
        <v>633</v>
      </c>
      <c r="P26" s="231">
        <f>G26*0.52*20%*0</f>
        <v>0</v>
      </c>
      <c r="Q26" s="16"/>
    </row>
    <row r="27" spans="1:19" ht="18.75" customHeight="1" x14ac:dyDescent="0.3">
      <c r="A27" s="54"/>
      <c r="B27" s="55" t="s">
        <v>58</v>
      </c>
      <c r="C27" s="56" t="s">
        <v>42</v>
      </c>
      <c r="D27" s="57">
        <v>55</v>
      </c>
      <c r="E27" s="47" t="s">
        <v>629</v>
      </c>
      <c r="F27" s="19">
        <f>10%*D27</f>
        <v>5.5</v>
      </c>
      <c r="G27" s="19"/>
      <c r="H27" s="19">
        <f t="shared" ref="H27" si="7">SUM(F27:G27)</f>
        <v>5.5</v>
      </c>
      <c r="I27" s="19">
        <v>0</v>
      </c>
      <c r="J27" s="19"/>
      <c r="K27" s="19">
        <v>0</v>
      </c>
      <c r="L27" s="19">
        <v>0</v>
      </c>
      <c r="M27" s="20">
        <f t="shared" si="6"/>
        <v>0</v>
      </c>
      <c r="N27" s="37"/>
      <c r="O27" s="404"/>
      <c r="P27" s="231">
        <f>G27*0.52*20%*0</f>
        <v>0</v>
      </c>
      <c r="Q27" s="16"/>
      <c r="R27" s="1" t="s">
        <v>333</v>
      </c>
      <c r="S27" s="1" t="s">
        <v>334</v>
      </c>
    </row>
    <row r="28" spans="1:19" ht="18.75" customHeight="1" x14ac:dyDescent="0.3">
      <c r="A28" s="54"/>
      <c r="B28" s="55"/>
      <c r="C28" s="56"/>
      <c r="D28" s="57"/>
      <c r="E28" s="85" t="s">
        <v>630</v>
      </c>
      <c r="F28" s="224">
        <f>0.5%*D27</f>
        <v>0.27500000000000002</v>
      </c>
      <c r="G28" s="224">
        <f>1.2%*D27</f>
        <v>0.66</v>
      </c>
      <c r="H28" s="79">
        <f>F28+G28</f>
        <v>0.93500000000000005</v>
      </c>
      <c r="I28" s="19">
        <v>0</v>
      </c>
      <c r="J28" s="19"/>
      <c r="K28" s="19"/>
      <c r="L28" s="19">
        <v>1</v>
      </c>
      <c r="M28" s="20">
        <f t="shared" si="6"/>
        <v>1</v>
      </c>
      <c r="N28" s="37"/>
      <c r="O28" s="404"/>
      <c r="P28" s="231">
        <f>G28*0.52*15%*0</f>
        <v>0</v>
      </c>
      <c r="Q28" s="16"/>
    </row>
    <row r="29" spans="1:19" ht="18.75" customHeight="1" x14ac:dyDescent="0.3">
      <c r="A29" s="54"/>
      <c r="B29" s="55" t="s">
        <v>59</v>
      </c>
      <c r="C29" s="56" t="s">
        <v>21</v>
      </c>
      <c r="D29" s="57">
        <v>66.94</v>
      </c>
      <c r="E29" s="47" t="s">
        <v>629</v>
      </c>
      <c r="F29" s="19">
        <f>5%*D29</f>
        <v>3.347</v>
      </c>
      <c r="G29" s="19"/>
      <c r="H29" s="19">
        <f>F29+G29</f>
        <v>3.347</v>
      </c>
      <c r="I29" s="19">
        <v>0</v>
      </c>
      <c r="J29" s="19">
        <v>0</v>
      </c>
      <c r="K29" s="19">
        <v>0</v>
      </c>
      <c r="L29" s="19">
        <v>2</v>
      </c>
      <c r="M29" s="20">
        <f t="shared" si="6"/>
        <v>2</v>
      </c>
      <c r="N29" s="95"/>
      <c r="O29" s="399"/>
      <c r="P29" s="231">
        <f>G29*0.52*20%*0</f>
        <v>0</v>
      </c>
      <c r="Q29" s="87"/>
    </row>
    <row r="30" spans="1:19" ht="18.75" customHeight="1" x14ac:dyDescent="0.3">
      <c r="A30" s="89"/>
      <c r="B30" s="402" t="s">
        <v>326</v>
      </c>
      <c r="C30" s="403"/>
      <c r="D30" s="73">
        <f>SUM(D25:D29)</f>
        <v>324.12</v>
      </c>
      <c r="E30" s="74"/>
      <c r="F30" s="83">
        <f t="shared" ref="F30:K30" si="8">SUM(F25:F29)</f>
        <v>5063.6219999999994</v>
      </c>
      <c r="G30" s="83">
        <f t="shared" si="8"/>
        <v>0.66</v>
      </c>
      <c r="H30" s="83">
        <f t="shared" si="8"/>
        <v>5064.2820000000002</v>
      </c>
      <c r="I30" s="83">
        <f t="shared" si="8"/>
        <v>0</v>
      </c>
      <c r="J30" s="83">
        <f t="shared" si="8"/>
        <v>0</v>
      </c>
      <c r="K30" s="83">
        <f t="shared" si="8"/>
        <v>0</v>
      </c>
      <c r="L30" s="83">
        <f>SUM(L26:L29)</f>
        <v>5</v>
      </c>
      <c r="M30" s="83">
        <f>SUM(M25:M29)</f>
        <v>5</v>
      </c>
      <c r="N30" s="76"/>
      <c r="O30" s="77"/>
      <c r="P30" s="232"/>
      <c r="Q30" s="75"/>
    </row>
    <row r="31" spans="1:19" ht="18.75" customHeight="1" x14ac:dyDescent="0.3">
      <c r="A31" s="63">
        <v>3</v>
      </c>
      <c r="B31" s="64" t="s">
        <v>19</v>
      </c>
      <c r="C31" s="65"/>
      <c r="D31" s="66"/>
      <c r="E31" s="67"/>
      <c r="F31" s="82"/>
      <c r="G31" s="82"/>
      <c r="H31" s="82"/>
      <c r="I31" s="82"/>
      <c r="J31" s="82"/>
      <c r="K31" s="82"/>
      <c r="L31" s="82"/>
      <c r="M31" s="82"/>
      <c r="N31" s="69"/>
      <c r="O31" s="70"/>
      <c r="P31" s="233"/>
      <c r="Q31" s="68"/>
    </row>
    <row r="32" spans="1:19" ht="15.75" customHeight="1" x14ac:dyDescent="0.3">
      <c r="A32" s="13"/>
      <c r="B32" s="14" t="s">
        <v>57</v>
      </c>
      <c r="C32" s="15" t="s">
        <v>24</v>
      </c>
      <c r="D32" s="26">
        <f>1372.4+494</f>
        <v>1866.4</v>
      </c>
      <c r="E32" s="50" t="s">
        <v>52</v>
      </c>
      <c r="F32" s="19">
        <f t="shared" ref="F32:F37" si="9">5%*D32</f>
        <v>93.320000000000007</v>
      </c>
      <c r="G32" s="26">
        <f>45%*D32</f>
        <v>839.88000000000011</v>
      </c>
      <c r="H32" s="26">
        <f>SUM(F32:G32)</f>
        <v>933.20000000000016</v>
      </c>
      <c r="I32" s="19">
        <v>0</v>
      </c>
      <c r="J32" s="19"/>
      <c r="K32" s="19"/>
      <c r="L32" s="19">
        <v>2</v>
      </c>
      <c r="M32" s="19">
        <f>SUM(I32:L32)</f>
        <v>2</v>
      </c>
      <c r="N32" s="35" t="s">
        <v>262</v>
      </c>
      <c r="O32" s="36"/>
      <c r="P32" s="234">
        <f t="shared" ref="P32:P61" si="10">G32*0.815*26%*3500000</f>
        <v>622897002</v>
      </c>
      <c r="Q32" s="16"/>
    </row>
    <row r="33" spans="1:17" ht="15" customHeight="1" x14ac:dyDescent="0.3">
      <c r="A33" s="13"/>
      <c r="B33" s="14"/>
      <c r="C33" s="15"/>
      <c r="D33" s="26"/>
      <c r="E33" s="47" t="s">
        <v>624</v>
      </c>
      <c r="F33" s="19">
        <f t="shared" si="9"/>
        <v>0</v>
      </c>
      <c r="G33" s="26">
        <f>15%*D32</f>
        <v>279.95999999999998</v>
      </c>
      <c r="H33" s="26">
        <f>F33+G33</f>
        <v>279.95999999999998</v>
      </c>
      <c r="I33" s="19">
        <v>0</v>
      </c>
      <c r="J33" s="19"/>
      <c r="K33" s="19">
        <v>0</v>
      </c>
      <c r="L33" s="19">
        <v>4</v>
      </c>
      <c r="M33" s="19">
        <f>SUM(I33:L33)</f>
        <v>4</v>
      </c>
      <c r="N33" s="35" t="s">
        <v>263</v>
      </c>
      <c r="O33" s="36"/>
      <c r="P33" s="234">
        <f t="shared" si="10"/>
        <v>207632333.99999997</v>
      </c>
      <c r="Q33" s="16"/>
    </row>
    <row r="34" spans="1:17" ht="18.75" customHeight="1" x14ac:dyDescent="0.3">
      <c r="A34" s="13"/>
      <c r="B34" s="14" t="s">
        <v>58</v>
      </c>
      <c r="C34" s="15" t="s">
        <v>25</v>
      </c>
      <c r="D34" s="26">
        <f>994.7+363.2</f>
        <v>1357.9</v>
      </c>
      <c r="E34" s="50" t="s">
        <v>52</v>
      </c>
      <c r="F34" s="19">
        <f t="shared" si="9"/>
        <v>67.89500000000001</v>
      </c>
      <c r="G34" s="26">
        <f>10%*D34</f>
        <v>135.79000000000002</v>
      </c>
      <c r="H34" s="26">
        <f t="shared" ref="H34:H61" si="11">SUM(F34:G34)</f>
        <v>203.68500000000003</v>
      </c>
      <c r="I34" s="19">
        <v>0</v>
      </c>
      <c r="J34" s="19"/>
      <c r="K34" s="19">
        <v>0</v>
      </c>
      <c r="L34" s="19">
        <v>0</v>
      </c>
      <c r="M34" s="19">
        <f t="shared" ref="M34:M61" si="12">SUM(I34:L34)</f>
        <v>0</v>
      </c>
      <c r="N34" s="35" t="s">
        <v>264</v>
      </c>
      <c r="O34" s="36"/>
      <c r="P34" s="234">
        <f t="shared" si="10"/>
        <v>100708653.50000001</v>
      </c>
      <c r="Q34" s="16"/>
    </row>
    <row r="35" spans="1:17" ht="17.25" customHeight="1" x14ac:dyDescent="0.3">
      <c r="A35" s="13"/>
      <c r="B35" s="14" t="s">
        <v>59</v>
      </c>
      <c r="C35" s="15" t="s">
        <v>26</v>
      </c>
      <c r="D35" s="26">
        <f>976.5+338</f>
        <v>1314.5</v>
      </c>
      <c r="E35" s="50" t="s">
        <v>52</v>
      </c>
      <c r="F35" s="19">
        <f t="shared" si="9"/>
        <v>65.725000000000009</v>
      </c>
      <c r="G35" s="26">
        <f>18%*D35</f>
        <v>236.60999999999999</v>
      </c>
      <c r="H35" s="26">
        <f t="shared" si="11"/>
        <v>302.33499999999998</v>
      </c>
      <c r="I35" s="19"/>
      <c r="J35" s="19"/>
      <c r="K35" s="19">
        <v>5</v>
      </c>
      <c r="L35" s="19">
        <v>5</v>
      </c>
      <c r="M35" s="19">
        <f t="shared" si="12"/>
        <v>10</v>
      </c>
      <c r="N35" s="35"/>
      <c r="O35" s="36"/>
      <c r="P35" s="234">
        <f t="shared" si="10"/>
        <v>175481806.5</v>
      </c>
      <c r="Q35" s="16"/>
    </row>
    <row r="36" spans="1:17" ht="17.25" customHeight="1" x14ac:dyDescent="0.3">
      <c r="A36" s="13"/>
      <c r="B36" s="14"/>
      <c r="C36" s="15"/>
      <c r="D36" s="26"/>
      <c r="E36" s="47" t="s">
        <v>624</v>
      </c>
      <c r="F36" s="19">
        <f t="shared" si="9"/>
        <v>0</v>
      </c>
      <c r="G36" s="26">
        <f>15%*D35</f>
        <v>197.17499999999998</v>
      </c>
      <c r="H36" s="26">
        <f>F36+G36</f>
        <v>197.17499999999998</v>
      </c>
      <c r="I36" s="19">
        <v>0</v>
      </c>
      <c r="J36" s="19"/>
      <c r="K36" s="19">
        <v>5</v>
      </c>
      <c r="L36" s="19">
        <v>4</v>
      </c>
      <c r="M36" s="19">
        <f>SUM(I36:L36)</f>
        <v>9</v>
      </c>
      <c r="N36" s="35"/>
      <c r="O36" s="36"/>
      <c r="P36" s="234">
        <f t="shared" si="10"/>
        <v>146234838.75</v>
      </c>
      <c r="Q36" s="16"/>
    </row>
    <row r="37" spans="1:17" ht="15" customHeight="1" x14ac:dyDescent="0.3">
      <c r="A37" s="13"/>
      <c r="B37" s="14" t="s">
        <v>60</v>
      </c>
      <c r="C37" s="15" t="s">
        <v>55</v>
      </c>
      <c r="D37" s="26">
        <f>291.6+46.93</f>
        <v>338.53000000000003</v>
      </c>
      <c r="E37" s="50" t="s">
        <v>52</v>
      </c>
      <c r="F37" s="19">
        <f t="shared" si="9"/>
        <v>16.926500000000001</v>
      </c>
      <c r="G37" s="26">
        <f>17%*D37</f>
        <v>57.550100000000008</v>
      </c>
      <c r="H37" s="26">
        <f t="shared" si="11"/>
        <v>74.476600000000005</v>
      </c>
      <c r="I37" s="19">
        <v>0</v>
      </c>
      <c r="J37" s="19">
        <v>0</v>
      </c>
      <c r="K37" s="19">
        <v>0</v>
      </c>
      <c r="L37" s="19">
        <v>0</v>
      </c>
      <c r="M37" s="19">
        <f t="shared" si="12"/>
        <v>0</v>
      </c>
      <c r="N37" s="35"/>
      <c r="O37" s="36"/>
      <c r="P37" s="234">
        <f t="shared" si="10"/>
        <v>42682031.665000007</v>
      </c>
      <c r="Q37" s="16"/>
    </row>
    <row r="38" spans="1:17" ht="18.75" customHeight="1" x14ac:dyDescent="0.3">
      <c r="A38" s="13"/>
      <c r="B38" s="14"/>
      <c r="C38" s="15"/>
      <c r="D38" s="26"/>
      <c r="E38" s="47" t="s">
        <v>235</v>
      </c>
      <c r="F38" s="26">
        <f>4%*D37</f>
        <v>13.541200000000002</v>
      </c>
      <c r="G38" s="26">
        <f>15%*D37</f>
        <v>50.779500000000006</v>
      </c>
      <c r="H38" s="26">
        <f>SUM(F38:G38)</f>
        <v>64.320700000000002</v>
      </c>
      <c r="I38" s="19"/>
      <c r="J38" s="19"/>
      <c r="K38" s="19"/>
      <c r="L38" s="19">
        <v>5</v>
      </c>
      <c r="M38" s="19">
        <f>SUM(I38:L38)</f>
        <v>5</v>
      </c>
      <c r="N38" s="35"/>
      <c r="O38" s="36"/>
      <c r="P38" s="234">
        <f t="shared" si="10"/>
        <v>37660616.175000004</v>
      </c>
      <c r="Q38" s="16"/>
    </row>
    <row r="39" spans="1:17" ht="14.25" customHeight="1" x14ac:dyDescent="0.3">
      <c r="A39" s="13"/>
      <c r="B39" s="14" t="s">
        <v>61</v>
      </c>
      <c r="C39" s="15" t="s">
        <v>27</v>
      </c>
      <c r="D39" s="26">
        <f>831.5+161.25</f>
        <v>992.75</v>
      </c>
      <c r="E39" s="50" t="s">
        <v>52</v>
      </c>
      <c r="F39" s="19">
        <v>0</v>
      </c>
      <c r="G39" s="26">
        <f>33%*D39</f>
        <v>327.60750000000002</v>
      </c>
      <c r="H39" s="26">
        <f t="shared" si="11"/>
        <v>327.60750000000002</v>
      </c>
      <c r="I39" s="19">
        <v>0</v>
      </c>
      <c r="J39" s="19">
        <v>0</v>
      </c>
      <c r="K39" s="19">
        <v>0</v>
      </c>
      <c r="L39" s="19">
        <v>7</v>
      </c>
      <c r="M39" s="19">
        <f t="shared" si="12"/>
        <v>7</v>
      </c>
      <c r="N39" s="35"/>
      <c r="O39" s="36"/>
      <c r="P39" s="234">
        <f t="shared" si="10"/>
        <v>242970102.375</v>
      </c>
      <c r="Q39" s="16"/>
    </row>
    <row r="40" spans="1:17" ht="15" customHeight="1" x14ac:dyDescent="0.3">
      <c r="A40" s="13"/>
      <c r="B40" s="14" t="s">
        <v>62</v>
      </c>
      <c r="C40" s="15" t="s">
        <v>28</v>
      </c>
      <c r="D40" s="26">
        <f>868+618.6</f>
        <v>1486.6</v>
      </c>
      <c r="E40" s="50" t="s">
        <v>52</v>
      </c>
      <c r="F40" s="19">
        <v>0</v>
      </c>
      <c r="G40" s="26">
        <f>15%*D40</f>
        <v>222.98999999999998</v>
      </c>
      <c r="H40" s="26">
        <f t="shared" si="11"/>
        <v>222.98999999999998</v>
      </c>
      <c r="I40" s="19">
        <v>0</v>
      </c>
      <c r="J40" s="19">
        <v>0</v>
      </c>
      <c r="K40" s="19">
        <v>5</v>
      </c>
      <c r="L40" s="19">
        <v>5</v>
      </c>
      <c r="M40" s="19">
        <f t="shared" si="12"/>
        <v>10</v>
      </c>
      <c r="N40" s="35"/>
      <c r="O40" s="36"/>
      <c r="P40" s="234">
        <f t="shared" si="10"/>
        <v>165380533.49999997</v>
      </c>
      <c r="Q40" s="16"/>
    </row>
    <row r="41" spans="1:17" ht="15" customHeight="1" x14ac:dyDescent="0.3">
      <c r="A41" s="13"/>
      <c r="B41" s="14" t="s">
        <v>63</v>
      </c>
      <c r="C41" s="15" t="s">
        <v>29</v>
      </c>
      <c r="D41" s="26">
        <f>1546+278.5</f>
        <v>1824.5</v>
      </c>
      <c r="E41" s="50" t="s">
        <v>52</v>
      </c>
      <c r="F41" s="19">
        <v>0</v>
      </c>
      <c r="G41" s="26">
        <f>20%*D41</f>
        <v>364.90000000000003</v>
      </c>
      <c r="H41" s="26">
        <f t="shared" si="11"/>
        <v>364.90000000000003</v>
      </c>
      <c r="I41" s="19">
        <v>0</v>
      </c>
      <c r="J41" s="19">
        <v>0</v>
      </c>
      <c r="K41" s="19">
        <v>10</v>
      </c>
      <c r="L41" s="19">
        <v>5</v>
      </c>
      <c r="M41" s="19">
        <f t="shared" si="12"/>
        <v>15</v>
      </c>
      <c r="N41" s="35"/>
      <c r="O41" s="36"/>
      <c r="P41" s="234">
        <f t="shared" si="10"/>
        <v>270628085</v>
      </c>
      <c r="Q41" s="16"/>
    </row>
    <row r="42" spans="1:17" ht="15" customHeight="1" x14ac:dyDescent="0.3">
      <c r="A42" s="13"/>
      <c r="B42" s="14"/>
      <c r="C42" s="15"/>
      <c r="D42" s="26"/>
      <c r="E42" s="47" t="s">
        <v>234</v>
      </c>
      <c r="F42" s="26"/>
      <c r="G42" s="26">
        <f>12%*D40</f>
        <v>178.392</v>
      </c>
      <c r="H42" s="26">
        <f>F42+G42</f>
        <v>178.392</v>
      </c>
      <c r="I42" s="19"/>
      <c r="J42" s="19">
        <v>0</v>
      </c>
      <c r="K42" s="19">
        <v>0</v>
      </c>
      <c r="L42" s="19">
        <v>0</v>
      </c>
      <c r="M42" s="19">
        <f t="shared" ref="M42" si="13">SUM(I42:L42)</f>
        <v>0</v>
      </c>
      <c r="N42" s="35"/>
      <c r="O42" s="36"/>
      <c r="P42" s="234">
        <f t="shared" si="10"/>
        <v>132304426.8</v>
      </c>
      <c r="Q42" s="16"/>
    </row>
    <row r="43" spans="1:17" ht="14.25" customHeight="1" x14ac:dyDescent="0.3">
      <c r="A43" s="13"/>
      <c r="B43" s="14" t="s">
        <v>64</v>
      </c>
      <c r="C43" s="15" t="s">
        <v>56</v>
      </c>
      <c r="D43" s="26">
        <f>156.4+34.9</f>
        <v>191.3</v>
      </c>
      <c r="E43" s="50" t="s">
        <v>52</v>
      </c>
      <c r="F43" s="19">
        <v>0</v>
      </c>
      <c r="G43" s="26">
        <f>13%*D43</f>
        <v>24.869000000000003</v>
      </c>
      <c r="H43" s="26">
        <f t="shared" si="11"/>
        <v>24.869000000000003</v>
      </c>
      <c r="I43" s="19">
        <v>0</v>
      </c>
      <c r="J43" s="19"/>
      <c r="K43" s="19"/>
      <c r="L43" s="19">
        <v>0</v>
      </c>
      <c r="M43" s="19">
        <f t="shared" si="12"/>
        <v>0</v>
      </c>
      <c r="N43" s="35"/>
      <c r="O43" s="36"/>
      <c r="P43" s="234">
        <f t="shared" si="10"/>
        <v>18444093.850000001</v>
      </c>
      <c r="Q43" s="16"/>
    </row>
    <row r="44" spans="1:17" ht="15" customHeight="1" x14ac:dyDescent="0.3">
      <c r="A44" s="13"/>
      <c r="B44" s="14" t="s">
        <v>65</v>
      </c>
      <c r="C44" s="15" t="s">
        <v>30</v>
      </c>
      <c r="D44" s="26">
        <f>1499.7+565.1</f>
        <v>2064.8000000000002</v>
      </c>
      <c r="E44" s="50" t="s">
        <v>52</v>
      </c>
      <c r="F44" s="19">
        <v>0</v>
      </c>
      <c r="G44" s="26">
        <f>12%*D44</f>
        <v>247.77600000000001</v>
      </c>
      <c r="H44" s="26">
        <f t="shared" si="11"/>
        <v>247.77600000000001</v>
      </c>
      <c r="I44" s="19">
        <v>0</v>
      </c>
      <c r="J44" s="19">
        <v>0</v>
      </c>
      <c r="K44" s="19">
        <v>0</v>
      </c>
      <c r="L44" s="19">
        <v>0</v>
      </c>
      <c r="M44" s="19">
        <f t="shared" si="12"/>
        <v>0</v>
      </c>
      <c r="N44" s="35"/>
      <c r="O44" s="36"/>
      <c r="P44" s="234">
        <f t="shared" si="10"/>
        <v>183763070.40000004</v>
      </c>
      <c r="Q44" s="16"/>
    </row>
    <row r="45" spans="1:17" ht="14.25" customHeight="1" x14ac:dyDescent="0.3">
      <c r="A45" s="13"/>
      <c r="B45" s="14" t="s">
        <v>66</v>
      </c>
      <c r="C45" s="15" t="s">
        <v>31</v>
      </c>
      <c r="D45" s="26">
        <f>1207+389</f>
        <v>1596</v>
      </c>
      <c r="E45" s="50" t="s">
        <v>52</v>
      </c>
      <c r="F45" s="19">
        <v>0</v>
      </c>
      <c r="G45" s="26">
        <f>11%*D45</f>
        <v>175.56</v>
      </c>
      <c r="H45" s="26">
        <f t="shared" si="11"/>
        <v>175.56</v>
      </c>
      <c r="I45" s="19">
        <v>0</v>
      </c>
      <c r="J45" s="19">
        <v>0</v>
      </c>
      <c r="K45" s="19">
        <v>0</v>
      </c>
      <c r="L45" s="19">
        <v>0</v>
      </c>
      <c r="M45" s="19">
        <f t="shared" si="12"/>
        <v>0</v>
      </c>
      <c r="N45" s="35"/>
      <c r="O45" s="36"/>
      <c r="P45" s="234">
        <f t="shared" si="10"/>
        <v>130204074</v>
      </c>
      <c r="Q45" s="16"/>
    </row>
    <row r="46" spans="1:17" ht="13.5" customHeight="1" x14ac:dyDescent="0.3">
      <c r="A46" s="13"/>
      <c r="B46" s="14" t="s">
        <v>67</v>
      </c>
      <c r="C46" s="15" t="s">
        <v>32</v>
      </c>
      <c r="D46" s="26">
        <f>998.9+79.5</f>
        <v>1078.4000000000001</v>
      </c>
      <c r="E46" s="50" t="s">
        <v>52</v>
      </c>
      <c r="F46" s="19">
        <v>0</v>
      </c>
      <c r="G46" s="26">
        <f>15%*D46</f>
        <v>161.76000000000002</v>
      </c>
      <c r="H46" s="26">
        <f t="shared" si="11"/>
        <v>161.76000000000002</v>
      </c>
      <c r="I46" s="19">
        <v>0</v>
      </c>
      <c r="J46" s="19">
        <v>0</v>
      </c>
      <c r="K46" s="19">
        <v>0</v>
      </c>
      <c r="L46" s="19">
        <v>0</v>
      </c>
      <c r="M46" s="19">
        <f t="shared" si="12"/>
        <v>0</v>
      </c>
      <c r="N46" s="35"/>
      <c r="O46" s="36"/>
      <c r="P46" s="234">
        <f t="shared" si="10"/>
        <v>119969304.00000003</v>
      </c>
      <c r="Q46" s="16"/>
    </row>
    <row r="47" spans="1:17" ht="15.75" customHeight="1" x14ac:dyDescent="0.3">
      <c r="A47" s="13"/>
      <c r="B47" s="14" t="s">
        <v>68</v>
      </c>
      <c r="C47" s="15" t="s">
        <v>33</v>
      </c>
      <c r="D47" s="26">
        <f>1304+57.5</f>
        <v>1361.5</v>
      </c>
      <c r="E47" s="50" t="s">
        <v>52</v>
      </c>
      <c r="F47" s="19">
        <v>0</v>
      </c>
      <c r="G47" s="26">
        <f>11%*D47</f>
        <v>149.76500000000001</v>
      </c>
      <c r="H47" s="26">
        <f t="shared" si="11"/>
        <v>149.76500000000001</v>
      </c>
      <c r="I47" s="19">
        <v>0</v>
      </c>
      <c r="J47" s="19"/>
      <c r="K47" s="19">
        <v>0</v>
      </c>
      <c r="L47" s="19">
        <v>0</v>
      </c>
      <c r="M47" s="19">
        <f t="shared" si="12"/>
        <v>0</v>
      </c>
      <c r="N47" s="35"/>
      <c r="O47" s="36"/>
      <c r="P47" s="234">
        <f t="shared" si="10"/>
        <v>111073212.25</v>
      </c>
      <c r="Q47" s="16"/>
    </row>
    <row r="48" spans="1:17" ht="14.25" customHeight="1" x14ac:dyDescent="0.3">
      <c r="A48" s="13"/>
      <c r="B48" s="14" t="s">
        <v>69</v>
      </c>
      <c r="C48" s="15" t="s">
        <v>34</v>
      </c>
      <c r="D48" s="26">
        <f>1784.1+362</f>
        <v>2146.1</v>
      </c>
      <c r="E48" s="50" t="s">
        <v>52</v>
      </c>
      <c r="F48" s="19">
        <v>0</v>
      </c>
      <c r="G48" s="26">
        <f>21%*D48</f>
        <v>450.68099999999998</v>
      </c>
      <c r="H48" s="26">
        <f t="shared" si="11"/>
        <v>450.68099999999998</v>
      </c>
      <c r="I48" s="19">
        <v>0</v>
      </c>
      <c r="J48" s="19"/>
      <c r="K48" s="19"/>
      <c r="L48" s="19">
        <v>6</v>
      </c>
      <c r="M48" s="19">
        <f t="shared" si="12"/>
        <v>6</v>
      </c>
      <c r="N48" s="35"/>
      <c r="O48" s="36"/>
      <c r="P48" s="234">
        <f t="shared" si="10"/>
        <v>334247563.64999998</v>
      </c>
      <c r="Q48" s="16"/>
    </row>
    <row r="49" spans="1:17" ht="13.5" customHeight="1" x14ac:dyDescent="0.3">
      <c r="A49" s="13"/>
      <c r="B49" s="14" t="s">
        <v>70</v>
      </c>
      <c r="C49" s="15" t="s">
        <v>35</v>
      </c>
      <c r="D49" s="26">
        <f>1557+181.5</f>
        <v>1738.5</v>
      </c>
      <c r="E49" s="50" t="s">
        <v>52</v>
      </c>
      <c r="F49" s="19">
        <v>0</v>
      </c>
      <c r="G49" s="26">
        <f>12%*D49</f>
        <v>208.62</v>
      </c>
      <c r="H49" s="26">
        <f t="shared" si="11"/>
        <v>208.62</v>
      </c>
      <c r="I49" s="19">
        <v>0</v>
      </c>
      <c r="J49" s="19">
        <v>0</v>
      </c>
      <c r="K49" s="19">
        <v>0</v>
      </c>
      <c r="L49" s="19">
        <v>0</v>
      </c>
      <c r="M49" s="19">
        <f t="shared" si="12"/>
        <v>0</v>
      </c>
      <c r="N49" s="35"/>
      <c r="O49" s="36"/>
      <c r="P49" s="234">
        <f t="shared" si="10"/>
        <v>154723023</v>
      </c>
      <c r="Q49" s="16"/>
    </row>
    <row r="50" spans="1:17" ht="18.75" customHeight="1" x14ac:dyDescent="0.3">
      <c r="A50" s="13"/>
      <c r="B50" s="14" t="s">
        <v>71</v>
      </c>
      <c r="C50" s="15" t="s">
        <v>21</v>
      </c>
      <c r="D50" s="26">
        <f>1940+114</f>
        <v>2054</v>
      </c>
      <c r="E50" s="50" t="s">
        <v>52</v>
      </c>
      <c r="F50" s="19">
        <v>0</v>
      </c>
      <c r="G50" s="26">
        <f>15%*D50</f>
        <v>308.09999999999997</v>
      </c>
      <c r="H50" s="26">
        <f t="shared" si="11"/>
        <v>308.09999999999997</v>
      </c>
      <c r="I50" s="19">
        <v>0</v>
      </c>
      <c r="J50" s="19">
        <v>0</v>
      </c>
      <c r="K50" s="19">
        <v>0</v>
      </c>
      <c r="L50" s="19">
        <v>0</v>
      </c>
      <c r="M50" s="19">
        <f t="shared" si="12"/>
        <v>0</v>
      </c>
      <c r="N50" s="35"/>
      <c r="O50" s="36"/>
      <c r="P50" s="234">
        <f t="shared" si="10"/>
        <v>228502365</v>
      </c>
      <c r="Q50" s="16"/>
    </row>
    <row r="51" spans="1:17" ht="14.25" customHeight="1" x14ac:dyDescent="0.3">
      <c r="A51" s="13"/>
      <c r="B51" s="14" t="s">
        <v>72</v>
      </c>
      <c r="C51" s="15" t="s">
        <v>42</v>
      </c>
      <c r="D51" s="26">
        <f>773.1+303.8</f>
        <v>1076.9000000000001</v>
      </c>
      <c r="E51" s="50" t="s">
        <v>52</v>
      </c>
      <c r="F51" s="19">
        <v>0</v>
      </c>
      <c r="G51" s="26">
        <f>15%*D51</f>
        <v>161.535</v>
      </c>
      <c r="H51" s="26">
        <f t="shared" si="11"/>
        <v>161.535</v>
      </c>
      <c r="I51" s="19">
        <v>0</v>
      </c>
      <c r="J51" s="19">
        <v>0</v>
      </c>
      <c r="K51" s="19">
        <v>0</v>
      </c>
      <c r="L51" s="19">
        <v>4</v>
      </c>
      <c r="M51" s="19">
        <f t="shared" si="12"/>
        <v>4</v>
      </c>
      <c r="N51" s="35"/>
      <c r="O51" s="36"/>
      <c r="P51" s="234">
        <f t="shared" si="10"/>
        <v>119802432.74999999</v>
      </c>
      <c r="Q51" s="16"/>
    </row>
    <row r="52" spans="1:17" ht="18" customHeight="1" x14ac:dyDescent="0.3">
      <c r="A52" s="13"/>
      <c r="B52" s="14" t="s">
        <v>73</v>
      </c>
      <c r="C52" s="15" t="s">
        <v>105</v>
      </c>
      <c r="D52" s="26">
        <f>153.8+8.7</f>
        <v>162.5</v>
      </c>
      <c r="E52" s="50" t="s">
        <v>52</v>
      </c>
      <c r="F52" s="19">
        <v>0</v>
      </c>
      <c r="G52" s="26">
        <f>10%*D52</f>
        <v>16.25</v>
      </c>
      <c r="H52" s="26">
        <f t="shared" si="11"/>
        <v>16.25</v>
      </c>
      <c r="I52" s="19">
        <v>0</v>
      </c>
      <c r="J52" s="19">
        <v>0</v>
      </c>
      <c r="K52" s="19">
        <v>0</v>
      </c>
      <c r="L52" s="19">
        <v>4</v>
      </c>
      <c r="M52" s="19">
        <f t="shared" si="12"/>
        <v>4</v>
      </c>
      <c r="N52" s="35"/>
      <c r="O52" s="36"/>
      <c r="P52" s="234">
        <f t="shared" si="10"/>
        <v>12051812.499999998</v>
      </c>
      <c r="Q52" s="16"/>
    </row>
    <row r="53" spans="1:17" ht="16.5" customHeight="1" x14ac:dyDescent="0.3">
      <c r="A53" s="13"/>
      <c r="B53" s="14" t="s">
        <v>74</v>
      </c>
      <c r="C53" s="15" t="s">
        <v>110</v>
      </c>
      <c r="D53" s="26">
        <f>695+48.2</f>
        <v>743.2</v>
      </c>
      <c r="E53" s="50" t="s">
        <v>52</v>
      </c>
      <c r="F53" s="19">
        <v>0</v>
      </c>
      <c r="G53" s="26">
        <f>11%*D53</f>
        <v>81.75200000000001</v>
      </c>
      <c r="H53" s="26">
        <f t="shared" si="11"/>
        <v>81.75200000000001</v>
      </c>
      <c r="I53" s="19">
        <v>0</v>
      </c>
      <c r="J53" s="19">
        <v>0</v>
      </c>
      <c r="K53" s="19">
        <v>0</v>
      </c>
      <c r="L53" s="19">
        <v>0</v>
      </c>
      <c r="M53" s="19">
        <f t="shared" si="12"/>
        <v>0</v>
      </c>
      <c r="N53" s="35"/>
      <c r="O53" s="36"/>
      <c r="P53" s="234">
        <f t="shared" si="10"/>
        <v>60631370.800000004</v>
      </c>
      <c r="Q53" s="16"/>
    </row>
    <row r="54" spans="1:17" ht="15.75" customHeight="1" x14ac:dyDescent="0.3">
      <c r="A54" s="13"/>
      <c r="B54" s="14" t="s">
        <v>75</v>
      </c>
      <c r="C54" s="15" t="s">
        <v>112</v>
      </c>
      <c r="D54" s="26">
        <f>375+14</f>
        <v>389</v>
      </c>
      <c r="E54" s="50" t="s">
        <v>52</v>
      </c>
      <c r="F54" s="19">
        <v>0</v>
      </c>
      <c r="G54" s="26">
        <f>10%*D54</f>
        <v>38.900000000000006</v>
      </c>
      <c r="H54" s="26">
        <f t="shared" si="11"/>
        <v>38.900000000000006</v>
      </c>
      <c r="I54" s="19">
        <v>0</v>
      </c>
      <c r="J54" s="19">
        <v>0</v>
      </c>
      <c r="K54" s="19">
        <v>0</v>
      </c>
      <c r="L54" s="19">
        <v>0</v>
      </c>
      <c r="M54" s="19">
        <f t="shared" si="12"/>
        <v>0</v>
      </c>
      <c r="N54" s="35"/>
      <c r="O54" s="36"/>
      <c r="P54" s="234">
        <f t="shared" si="10"/>
        <v>28850185</v>
      </c>
      <c r="Q54" s="16"/>
    </row>
    <row r="55" spans="1:17" ht="15.75" customHeight="1" x14ac:dyDescent="0.3">
      <c r="A55" s="13"/>
      <c r="B55" s="14" t="s">
        <v>104</v>
      </c>
      <c r="C55" s="15" t="s">
        <v>114</v>
      </c>
      <c r="D55" s="26">
        <f>73.5</f>
        <v>73.5</v>
      </c>
      <c r="E55" s="50" t="s">
        <v>52</v>
      </c>
      <c r="F55" s="19">
        <v>0</v>
      </c>
      <c r="G55" s="26">
        <f>10%*D55</f>
        <v>7.3500000000000005</v>
      </c>
      <c r="H55" s="26">
        <f t="shared" si="11"/>
        <v>7.3500000000000005</v>
      </c>
      <c r="I55" s="19">
        <v>0</v>
      </c>
      <c r="J55" s="19">
        <v>0</v>
      </c>
      <c r="K55" s="19">
        <v>0</v>
      </c>
      <c r="L55" s="19">
        <v>0</v>
      </c>
      <c r="M55" s="19">
        <f t="shared" si="12"/>
        <v>0</v>
      </c>
      <c r="N55" s="35"/>
      <c r="O55" s="36"/>
      <c r="P55" s="234">
        <f t="shared" si="10"/>
        <v>5451127.5</v>
      </c>
      <c r="Q55" s="16"/>
    </row>
    <row r="56" spans="1:17" ht="14.25" customHeight="1" x14ac:dyDescent="0.3">
      <c r="A56" s="13"/>
      <c r="B56" s="14" t="s">
        <v>106</v>
      </c>
      <c r="C56" s="15" t="s">
        <v>22</v>
      </c>
      <c r="D56" s="26">
        <f>1130+101</f>
        <v>1231</v>
      </c>
      <c r="E56" s="50" t="s">
        <v>52</v>
      </c>
      <c r="F56" s="19">
        <v>0</v>
      </c>
      <c r="G56" s="26">
        <f>15%*D56</f>
        <v>184.65</v>
      </c>
      <c r="H56" s="26">
        <f t="shared" si="11"/>
        <v>184.65</v>
      </c>
      <c r="I56" s="19">
        <v>0</v>
      </c>
      <c r="J56" s="19">
        <v>0</v>
      </c>
      <c r="K56" s="19">
        <v>4</v>
      </c>
      <c r="L56" s="19">
        <v>0</v>
      </c>
      <c r="M56" s="19">
        <f t="shared" si="12"/>
        <v>4</v>
      </c>
      <c r="N56" s="35"/>
      <c r="O56" s="36"/>
      <c r="P56" s="234">
        <f t="shared" si="10"/>
        <v>136945672.49999997</v>
      </c>
      <c r="Q56" s="16"/>
    </row>
    <row r="57" spans="1:17" ht="15" customHeight="1" x14ac:dyDescent="0.3">
      <c r="A57" s="13"/>
      <c r="B57" s="14" t="s">
        <v>108</v>
      </c>
      <c r="C57" s="15" t="s">
        <v>180</v>
      </c>
      <c r="D57" s="26">
        <f>134.8+5</f>
        <v>139.80000000000001</v>
      </c>
      <c r="E57" s="47" t="s">
        <v>52</v>
      </c>
      <c r="F57" s="19">
        <f>5%*D57</f>
        <v>6.9900000000000011</v>
      </c>
      <c r="G57" s="26">
        <f>15%*D57</f>
        <v>20.970000000000002</v>
      </c>
      <c r="H57" s="26">
        <f t="shared" si="11"/>
        <v>27.960000000000004</v>
      </c>
      <c r="I57" s="19">
        <v>0</v>
      </c>
      <c r="J57" s="19">
        <v>0</v>
      </c>
      <c r="K57" s="19">
        <v>0</v>
      </c>
      <c r="L57" s="19">
        <v>0</v>
      </c>
      <c r="M57" s="19">
        <f t="shared" si="12"/>
        <v>0</v>
      </c>
      <c r="N57" s="35"/>
      <c r="O57" s="36"/>
      <c r="P57" s="234">
        <f t="shared" si="10"/>
        <v>15552400.5</v>
      </c>
      <c r="Q57" s="16"/>
    </row>
    <row r="58" spans="1:17" ht="16.5" customHeight="1" x14ac:dyDescent="0.3">
      <c r="A58" s="13"/>
      <c r="B58" s="14" t="s">
        <v>109</v>
      </c>
      <c r="C58" s="15" t="s">
        <v>43</v>
      </c>
      <c r="D58" s="26">
        <f>1189+216.6</f>
        <v>1405.6</v>
      </c>
      <c r="E58" s="50" t="s">
        <v>52</v>
      </c>
      <c r="F58" s="19">
        <v>0</v>
      </c>
      <c r="G58" s="26">
        <f>20%*D58</f>
        <v>281.12</v>
      </c>
      <c r="H58" s="26">
        <f t="shared" si="11"/>
        <v>281.12</v>
      </c>
      <c r="I58" s="19">
        <v>0</v>
      </c>
      <c r="J58" s="19">
        <v>0</v>
      </c>
      <c r="K58" s="19">
        <v>0</v>
      </c>
      <c r="L58" s="19">
        <v>0</v>
      </c>
      <c r="M58" s="19">
        <f t="shared" si="12"/>
        <v>0</v>
      </c>
      <c r="N58" s="35"/>
      <c r="O58" s="36"/>
      <c r="P58" s="234">
        <f t="shared" si="10"/>
        <v>208492648</v>
      </c>
      <c r="Q58" s="16"/>
    </row>
    <row r="59" spans="1:17" ht="14.25" customHeight="1" x14ac:dyDescent="0.3">
      <c r="A59" s="13"/>
      <c r="B59" s="55" t="s">
        <v>111</v>
      </c>
      <c r="C59" s="56" t="s">
        <v>44</v>
      </c>
      <c r="D59" s="57">
        <f>1396.6+127</f>
        <v>1523.6</v>
      </c>
      <c r="E59" s="78" t="s">
        <v>52</v>
      </c>
      <c r="F59" s="19">
        <f>5%*D59</f>
        <v>76.179999999999993</v>
      </c>
      <c r="G59" s="26">
        <f>15%*D59</f>
        <v>228.54</v>
      </c>
      <c r="H59" s="26">
        <f t="shared" si="11"/>
        <v>304.71999999999997</v>
      </c>
      <c r="I59" s="19">
        <v>0</v>
      </c>
      <c r="J59" s="19">
        <v>0</v>
      </c>
      <c r="K59" s="19">
        <v>0</v>
      </c>
      <c r="L59" s="19">
        <v>10</v>
      </c>
      <c r="M59" s="19">
        <f t="shared" si="12"/>
        <v>10</v>
      </c>
      <c r="N59" s="35"/>
      <c r="O59" s="36"/>
      <c r="P59" s="234">
        <f t="shared" si="10"/>
        <v>169496691</v>
      </c>
      <c r="Q59" s="16"/>
    </row>
    <row r="60" spans="1:17" ht="14.25" customHeight="1" x14ac:dyDescent="0.3">
      <c r="A60" s="13"/>
      <c r="B60" s="14" t="s">
        <v>74</v>
      </c>
      <c r="C60" s="15" t="s">
        <v>43</v>
      </c>
      <c r="D60" s="26">
        <v>1189</v>
      </c>
      <c r="E60" s="50" t="s">
        <v>52</v>
      </c>
      <c r="F60" s="19">
        <v>0</v>
      </c>
      <c r="G60" s="26">
        <f>15%*D60</f>
        <v>178.35</v>
      </c>
      <c r="H60" s="26">
        <f t="shared" si="11"/>
        <v>178.35</v>
      </c>
      <c r="I60" s="19">
        <v>0</v>
      </c>
      <c r="J60" s="19"/>
      <c r="K60" s="19">
        <v>6</v>
      </c>
      <c r="L60" s="19">
        <v>5</v>
      </c>
      <c r="M60" s="19">
        <f t="shared" si="12"/>
        <v>11</v>
      </c>
      <c r="N60" s="35"/>
      <c r="O60" s="36"/>
      <c r="P60" s="234">
        <f t="shared" si="10"/>
        <v>132273277.49999999</v>
      </c>
      <c r="Q60" s="16"/>
    </row>
    <row r="61" spans="1:17" ht="18.75" customHeight="1" x14ac:dyDescent="0.3">
      <c r="A61" s="54"/>
      <c r="B61" s="55" t="s">
        <v>75</v>
      </c>
      <c r="C61" s="56" t="s">
        <v>44</v>
      </c>
      <c r="D61" s="57">
        <v>1391</v>
      </c>
      <c r="E61" s="78" t="s">
        <v>52</v>
      </c>
      <c r="F61" s="19">
        <f>5%*D61</f>
        <v>69.55</v>
      </c>
      <c r="G61" s="26">
        <f>10%*D61</f>
        <v>139.1</v>
      </c>
      <c r="H61" s="26">
        <f t="shared" si="11"/>
        <v>208.64999999999998</v>
      </c>
      <c r="I61" s="19">
        <v>0</v>
      </c>
      <c r="J61" s="19"/>
      <c r="K61" s="19">
        <v>2</v>
      </c>
      <c r="L61" s="19">
        <v>9</v>
      </c>
      <c r="M61" s="19">
        <f t="shared" si="12"/>
        <v>11</v>
      </c>
      <c r="N61" s="35"/>
      <c r="O61" s="36"/>
      <c r="P61" s="234">
        <f t="shared" si="10"/>
        <v>103163514.99999999</v>
      </c>
      <c r="Q61" s="16"/>
    </row>
    <row r="62" spans="1:17" ht="25.5" customHeight="1" x14ac:dyDescent="0.3">
      <c r="A62" s="89"/>
      <c r="B62" s="72" t="s">
        <v>347</v>
      </c>
      <c r="C62" s="72"/>
      <c r="D62" s="84">
        <f>SUM(D32:D61)</f>
        <v>30736.879999999997</v>
      </c>
      <c r="E62" s="74"/>
      <c r="F62" s="83">
        <f>SUM(F39:F61)</f>
        <v>152.71999999999997</v>
      </c>
      <c r="G62" s="83">
        <f t="shared" ref="G62:M62" si="14">SUM(G32:G61)</f>
        <v>5957.2821000000004</v>
      </c>
      <c r="H62" s="83">
        <f t="shared" si="14"/>
        <v>6367.4098000000004</v>
      </c>
      <c r="I62" s="83">
        <f t="shared" si="14"/>
        <v>0</v>
      </c>
      <c r="J62" s="83">
        <f t="shared" si="14"/>
        <v>0</v>
      </c>
      <c r="K62" s="83">
        <f t="shared" si="14"/>
        <v>37</v>
      </c>
      <c r="L62" s="83">
        <f t="shared" si="14"/>
        <v>75</v>
      </c>
      <c r="M62" s="83">
        <f t="shared" si="14"/>
        <v>112</v>
      </c>
      <c r="N62" s="76"/>
      <c r="O62" s="77"/>
      <c r="P62" s="184">
        <f>SUM(P32:P61)</f>
        <v>4418218269.4650002</v>
      </c>
      <c r="Q62" s="75"/>
    </row>
    <row r="63" spans="1:17" ht="18.75" customHeight="1" x14ac:dyDescent="0.3">
      <c r="A63" s="63">
        <v>4</v>
      </c>
      <c r="B63" s="64" t="s">
        <v>46</v>
      </c>
      <c r="C63" s="65"/>
      <c r="D63" s="66"/>
      <c r="E63" s="67"/>
      <c r="F63" s="82"/>
      <c r="G63" s="82"/>
      <c r="H63" s="82"/>
      <c r="I63" s="82"/>
      <c r="J63" s="82"/>
      <c r="K63" s="82"/>
      <c r="L63" s="82"/>
      <c r="M63" s="82"/>
      <c r="N63" s="69"/>
      <c r="O63" s="70"/>
      <c r="P63" s="233"/>
      <c r="Q63" s="68"/>
    </row>
    <row r="64" spans="1:17" ht="25.5" customHeight="1" x14ac:dyDescent="0.3">
      <c r="A64" s="102"/>
      <c r="B64" s="98" t="s">
        <v>57</v>
      </c>
      <c r="C64" s="99" t="s">
        <v>29</v>
      </c>
      <c r="D64" s="96">
        <v>175</v>
      </c>
      <c r="E64" s="101" t="s">
        <v>233</v>
      </c>
      <c r="F64" s="96">
        <f>5%*D64</f>
        <v>8.75</v>
      </c>
      <c r="G64" s="96">
        <f>3%*D64</f>
        <v>5.25</v>
      </c>
      <c r="H64" s="96">
        <f>SUM(F64:G64)</f>
        <v>14</v>
      </c>
      <c r="I64" s="97">
        <v>0</v>
      </c>
      <c r="J64" s="97"/>
      <c r="K64" s="97"/>
      <c r="L64" s="97">
        <v>5</v>
      </c>
      <c r="M64" s="97">
        <f t="shared" ref="M64:M71" si="15">SUM(I64:L64)</f>
        <v>5</v>
      </c>
      <c r="N64" s="35" t="s">
        <v>51</v>
      </c>
      <c r="O64" s="36" t="s">
        <v>229</v>
      </c>
      <c r="P64" s="234">
        <f t="shared" ref="P64:P71" si="16">G64*1.036*20%*8500000</f>
        <v>9246300</v>
      </c>
      <c r="Q64" s="16"/>
    </row>
    <row r="65" spans="1:20" ht="21.75" customHeight="1" x14ac:dyDescent="0.3">
      <c r="A65" s="13"/>
      <c r="B65" s="14" t="s">
        <v>58</v>
      </c>
      <c r="C65" s="15" t="s">
        <v>33</v>
      </c>
      <c r="D65" s="26">
        <v>368</v>
      </c>
      <c r="E65" s="47" t="s">
        <v>185</v>
      </c>
      <c r="F65" s="26">
        <f>5%*D65</f>
        <v>18.400000000000002</v>
      </c>
      <c r="G65" s="26">
        <f>10%*D65</f>
        <v>36.800000000000004</v>
      </c>
      <c r="H65" s="26">
        <f t="shared" ref="H65:H71" si="17">SUM(F65:G65)</f>
        <v>55.2</v>
      </c>
      <c r="I65" s="19">
        <v>0</v>
      </c>
      <c r="J65" s="19"/>
      <c r="K65" s="19">
        <v>0</v>
      </c>
      <c r="L65" s="19">
        <v>6</v>
      </c>
      <c r="M65" s="19">
        <f t="shared" si="15"/>
        <v>6</v>
      </c>
      <c r="N65" s="35" t="s">
        <v>51</v>
      </c>
      <c r="O65" s="36" t="s">
        <v>138</v>
      </c>
      <c r="P65" s="234">
        <f t="shared" si="16"/>
        <v>64812160.000000015</v>
      </c>
      <c r="Q65" s="16"/>
    </row>
    <row r="66" spans="1:20" ht="22.5" customHeight="1" x14ac:dyDescent="0.3">
      <c r="A66" s="13"/>
      <c r="B66" s="98" t="s">
        <v>59</v>
      </c>
      <c r="C66" s="99" t="s">
        <v>42</v>
      </c>
      <c r="D66" s="96">
        <v>774.98</v>
      </c>
      <c r="E66" s="101" t="s">
        <v>233</v>
      </c>
      <c r="F66" s="96">
        <f>4%*D66</f>
        <v>30.999200000000002</v>
      </c>
      <c r="G66" s="97">
        <f>15%*D66</f>
        <v>116.247</v>
      </c>
      <c r="H66" s="96">
        <f t="shared" si="17"/>
        <v>147.24619999999999</v>
      </c>
      <c r="I66" s="97">
        <v>0</v>
      </c>
      <c r="J66" s="97"/>
      <c r="K66" s="97">
        <v>0</v>
      </c>
      <c r="L66" s="97">
        <v>0</v>
      </c>
      <c r="M66" s="97">
        <f t="shared" si="15"/>
        <v>0</v>
      </c>
      <c r="N66" s="35"/>
      <c r="O66" s="36"/>
      <c r="P66" s="234">
        <f t="shared" si="16"/>
        <v>204734216.40000001</v>
      </c>
      <c r="Q66" s="16"/>
    </row>
    <row r="67" spans="1:20" ht="25.5" customHeight="1" x14ac:dyDescent="0.3">
      <c r="A67" s="13"/>
      <c r="B67" s="98" t="s">
        <v>60</v>
      </c>
      <c r="C67" s="99" t="s">
        <v>21</v>
      </c>
      <c r="D67" s="96">
        <v>942.55</v>
      </c>
      <c r="E67" s="101" t="s">
        <v>186</v>
      </c>
      <c r="F67" s="96">
        <f>2%*D67</f>
        <v>18.850999999999999</v>
      </c>
      <c r="G67" s="97">
        <f>4%*D67</f>
        <v>37.701999999999998</v>
      </c>
      <c r="H67" s="96">
        <f t="shared" si="17"/>
        <v>56.552999999999997</v>
      </c>
      <c r="I67" s="97">
        <v>0</v>
      </c>
      <c r="J67" s="97"/>
      <c r="K67" s="97">
        <v>0</v>
      </c>
      <c r="L67" s="97">
        <v>5</v>
      </c>
      <c r="M67" s="97">
        <f t="shared" si="15"/>
        <v>5</v>
      </c>
      <c r="N67" s="35"/>
      <c r="O67" s="36"/>
      <c r="P67" s="234">
        <f t="shared" si="16"/>
        <v>66400762.400000006</v>
      </c>
      <c r="Q67" s="16"/>
    </row>
    <row r="68" spans="1:20" ht="22.5" customHeight="1" x14ac:dyDescent="0.3">
      <c r="A68" s="13"/>
      <c r="B68" s="98"/>
      <c r="C68" s="99"/>
      <c r="D68" s="96"/>
      <c r="E68" s="101" t="s">
        <v>233</v>
      </c>
      <c r="F68" s="96">
        <f>1%*D67</f>
        <v>9.4254999999999995</v>
      </c>
      <c r="G68" s="96">
        <f>5%*D67</f>
        <v>47.127499999999998</v>
      </c>
      <c r="H68" s="96">
        <f>SUM(F68:G68)</f>
        <v>56.552999999999997</v>
      </c>
      <c r="I68" s="19">
        <v>0</v>
      </c>
      <c r="J68" s="19">
        <v>0</v>
      </c>
      <c r="K68" s="19">
        <v>0</v>
      </c>
      <c r="L68" s="19">
        <v>0</v>
      </c>
      <c r="M68" s="19">
        <f t="shared" si="15"/>
        <v>0</v>
      </c>
      <c r="N68" s="35"/>
      <c r="O68" s="36"/>
      <c r="P68" s="234">
        <f t="shared" si="16"/>
        <v>83000953</v>
      </c>
      <c r="Q68" s="16"/>
    </row>
    <row r="69" spans="1:20" ht="24" customHeight="1" x14ac:dyDescent="0.3">
      <c r="A69" s="16"/>
      <c r="B69" s="14" t="s">
        <v>61</v>
      </c>
      <c r="C69" s="15" t="s">
        <v>22</v>
      </c>
      <c r="D69" s="26">
        <v>1233.55</v>
      </c>
      <c r="E69" s="101" t="s">
        <v>233</v>
      </c>
      <c r="F69" s="26">
        <f>2%*D69</f>
        <v>24.670999999999999</v>
      </c>
      <c r="G69" s="19">
        <f>4%*D69</f>
        <v>49.341999999999999</v>
      </c>
      <c r="H69" s="26">
        <f t="shared" si="17"/>
        <v>74.013000000000005</v>
      </c>
      <c r="I69" s="19">
        <v>0</v>
      </c>
      <c r="J69" s="19"/>
      <c r="K69" s="19">
        <v>5</v>
      </c>
      <c r="L69" s="19">
        <v>5</v>
      </c>
      <c r="M69" s="19">
        <f t="shared" si="15"/>
        <v>10</v>
      </c>
      <c r="N69" s="35"/>
      <c r="O69" s="36"/>
      <c r="P69" s="234">
        <f t="shared" si="16"/>
        <v>86901130.400000021</v>
      </c>
      <c r="Q69" s="16"/>
    </row>
    <row r="70" spans="1:20" ht="21" customHeight="1" x14ac:dyDescent="0.3">
      <c r="A70" s="87"/>
      <c r="B70" s="55" t="s">
        <v>62</v>
      </c>
      <c r="C70" s="56" t="s">
        <v>43</v>
      </c>
      <c r="D70" s="57">
        <v>133</v>
      </c>
      <c r="E70" s="101" t="s">
        <v>233</v>
      </c>
      <c r="F70" s="19">
        <f>5%*D70</f>
        <v>6.65</v>
      </c>
      <c r="G70" s="19">
        <f>2%*D70</f>
        <v>2.66</v>
      </c>
      <c r="H70" s="26">
        <f t="shared" si="17"/>
        <v>9.31</v>
      </c>
      <c r="I70" s="19">
        <v>0</v>
      </c>
      <c r="J70" s="19"/>
      <c r="K70" s="19">
        <v>0</v>
      </c>
      <c r="L70" s="19">
        <v>2</v>
      </c>
      <c r="M70" s="19">
        <f t="shared" si="15"/>
        <v>2</v>
      </c>
      <c r="N70" s="35"/>
      <c r="O70" s="36"/>
      <c r="P70" s="234">
        <f t="shared" si="16"/>
        <v>4684792.0000000009</v>
      </c>
      <c r="Q70" s="16"/>
    </row>
    <row r="71" spans="1:20" ht="27.75" customHeight="1" x14ac:dyDescent="0.3">
      <c r="A71" s="16"/>
      <c r="B71" s="14" t="s">
        <v>63</v>
      </c>
      <c r="C71" s="15" t="s">
        <v>32</v>
      </c>
      <c r="D71" s="26">
        <v>298.5</v>
      </c>
      <c r="E71" s="101" t="s">
        <v>236</v>
      </c>
      <c r="F71" s="135">
        <f>1%*D71</f>
        <v>2.9849999999999999</v>
      </c>
      <c r="G71" s="19">
        <f>1%*D71</f>
        <v>2.9849999999999999</v>
      </c>
      <c r="H71" s="26">
        <f t="shared" si="17"/>
        <v>5.97</v>
      </c>
      <c r="I71" s="135">
        <v>0</v>
      </c>
      <c r="J71" s="135"/>
      <c r="K71" s="135">
        <v>0</v>
      </c>
      <c r="L71" s="135">
        <v>6</v>
      </c>
      <c r="M71" s="135">
        <f t="shared" si="15"/>
        <v>6</v>
      </c>
      <c r="N71" s="80"/>
      <c r="O71" s="81"/>
      <c r="P71" s="234">
        <f t="shared" si="16"/>
        <v>5257182</v>
      </c>
      <c r="Q71" s="87"/>
    </row>
    <row r="72" spans="1:20" ht="18.75" customHeight="1" x14ac:dyDescent="0.3">
      <c r="A72" s="75"/>
      <c r="B72" s="72" t="s">
        <v>348</v>
      </c>
      <c r="C72" s="72"/>
      <c r="D72" s="73">
        <f>SUM(D64:D71)</f>
        <v>3925.58</v>
      </c>
      <c r="E72" s="74"/>
      <c r="F72" s="73">
        <f t="shared" ref="F72:K72" si="18">SUM(F64:F71)</f>
        <v>120.7317</v>
      </c>
      <c r="G72" s="83">
        <f t="shared" si="18"/>
        <v>298.11350000000004</v>
      </c>
      <c r="H72" s="73">
        <f t="shared" si="18"/>
        <v>418.84520000000003</v>
      </c>
      <c r="I72" s="83">
        <f t="shared" si="18"/>
        <v>0</v>
      </c>
      <c r="J72" s="83">
        <f t="shared" si="18"/>
        <v>0</v>
      </c>
      <c r="K72" s="83">
        <f t="shared" si="18"/>
        <v>5</v>
      </c>
      <c r="L72" s="83">
        <f>SUM(L63:L71)</f>
        <v>29</v>
      </c>
      <c r="M72" s="83">
        <f>SUM(M64:M71)</f>
        <v>34</v>
      </c>
      <c r="N72" s="76"/>
      <c r="O72" s="77"/>
      <c r="P72" s="184">
        <f>SUM(P64:P71)</f>
        <v>525037496.20000011</v>
      </c>
      <c r="Q72" s="75"/>
    </row>
    <row r="73" spans="1:20" ht="16.5" customHeight="1" x14ac:dyDescent="0.3">
      <c r="A73" s="63">
        <v>5</v>
      </c>
      <c r="B73" s="64" t="s">
        <v>96</v>
      </c>
      <c r="C73" s="65"/>
      <c r="D73" s="66"/>
      <c r="E73" s="67"/>
      <c r="F73" s="66"/>
      <c r="G73" s="66"/>
      <c r="H73" s="66"/>
      <c r="I73" s="82"/>
      <c r="J73" s="82"/>
      <c r="K73" s="82"/>
      <c r="L73" s="82"/>
      <c r="M73" s="82"/>
      <c r="N73" s="69"/>
      <c r="O73" s="70"/>
      <c r="P73" s="233"/>
      <c r="Q73" s="68"/>
    </row>
    <row r="74" spans="1:20" ht="16.5" customHeight="1" x14ac:dyDescent="0.3">
      <c r="A74" s="16"/>
      <c r="B74" s="14" t="s">
        <v>57</v>
      </c>
      <c r="C74" s="15" t="s">
        <v>22</v>
      </c>
      <c r="D74" s="26">
        <v>9.5</v>
      </c>
      <c r="E74" s="47" t="s">
        <v>187</v>
      </c>
      <c r="F74" s="26">
        <f>50%*D74</f>
        <v>4.75</v>
      </c>
      <c r="G74" s="26">
        <f>20%*D74</f>
        <v>1.9000000000000001</v>
      </c>
      <c r="H74" s="26">
        <f t="shared" ref="H74:H82" si="19">SUM(F74:G74)</f>
        <v>6.65</v>
      </c>
      <c r="I74" s="19">
        <v>0</v>
      </c>
      <c r="J74" s="19"/>
      <c r="K74" s="19">
        <v>5</v>
      </c>
      <c r="L74" s="19">
        <v>2</v>
      </c>
      <c r="M74" s="19">
        <f>SUM(I74:L74)</f>
        <v>7</v>
      </c>
      <c r="N74" s="35"/>
      <c r="O74" s="36"/>
      <c r="P74" s="234">
        <f t="shared" ref="P74:P82" si="20">G74*0.486*30%*0</f>
        <v>0</v>
      </c>
      <c r="Q74" s="16"/>
    </row>
    <row r="75" spans="1:20" ht="17.25" customHeight="1" x14ac:dyDescent="0.3">
      <c r="A75" s="16"/>
      <c r="B75" s="14" t="s">
        <v>58</v>
      </c>
      <c r="C75" s="15" t="s">
        <v>21</v>
      </c>
      <c r="D75" s="26">
        <v>18.11</v>
      </c>
      <c r="E75" s="47" t="s">
        <v>187</v>
      </c>
      <c r="F75" s="26">
        <f>21%*D75</f>
        <v>3.8030999999999997</v>
      </c>
      <c r="G75" s="26">
        <f>50%*D75</f>
        <v>9.0549999999999997</v>
      </c>
      <c r="H75" s="26">
        <f t="shared" si="19"/>
        <v>12.8581</v>
      </c>
      <c r="I75" s="19">
        <v>0</v>
      </c>
      <c r="J75" s="19"/>
      <c r="K75" s="19">
        <v>6</v>
      </c>
      <c r="L75" s="19">
        <v>1</v>
      </c>
      <c r="M75" s="19">
        <f t="shared" ref="M75:M82" si="21">SUM(I75:L75)</f>
        <v>7</v>
      </c>
      <c r="N75" s="35"/>
      <c r="O75" s="36" t="s">
        <v>50</v>
      </c>
      <c r="P75" s="234">
        <f t="shared" si="20"/>
        <v>0</v>
      </c>
      <c r="Q75" s="16"/>
      <c r="S75" s="1" t="s">
        <v>636</v>
      </c>
      <c r="T75" s="1" t="s">
        <v>637</v>
      </c>
    </row>
    <row r="76" spans="1:20" ht="16.5" customHeight="1" x14ac:dyDescent="0.3">
      <c r="A76" s="16"/>
      <c r="B76" s="14"/>
      <c r="C76" s="15"/>
      <c r="D76" s="26"/>
      <c r="E76" s="47" t="s">
        <v>631</v>
      </c>
      <c r="F76" s="96">
        <f>12%*D75</f>
        <v>2.1732</v>
      </c>
      <c r="G76" s="96">
        <f>10%*D75</f>
        <v>1.8109999999999999</v>
      </c>
      <c r="H76" s="96">
        <f t="shared" si="19"/>
        <v>3.9842</v>
      </c>
      <c r="I76" s="97">
        <v>0</v>
      </c>
      <c r="J76" s="97">
        <v>0</v>
      </c>
      <c r="K76" s="97">
        <v>0</v>
      </c>
      <c r="L76" s="97">
        <v>0</v>
      </c>
      <c r="M76" s="97">
        <f t="shared" si="21"/>
        <v>0</v>
      </c>
      <c r="N76" s="35"/>
      <c r="O76" s="36"/>
      <c r="P76" s="234">
        <f t="shared" si="20"/>
        <v>0</v>
      </c>
      <c r="Q76" s="16"/>
      <c r="T76" s="1" t="s">
        <v>638</v>
      </c>
    </row>
    <row r="77" spans="1:20" ht="16.5" customHeight="1" x14ac:dyDescent="0.3">
      <c r="A77" s="16"/>
      <c r="B77" s="14" t="s">
        <v>59</v>
      </c>
      <c r="C77" s="15" t="s">
        <v>43</v>
      </c>
      <c r="D77" s="26">
        <v>19.79</v>
      </c>
      <c r="E77" s="47" t="s">
        <v>187</v>
      </c>
      <c r="F77" s="26">
        <f>9%*D77</f>
        <v>1.7810999999999999</v>
      </c>
      <c r="G77" s="26">
        <f>10%*D77</f>
        <v>1.9790000000000001</v>
      </c>
      <c r="H77" s="26">
        <f t="shared" si="19"/>
        <v>3.7601</v>
      </c>
      <c r="I77" s="19">
        <v>0</v>
      </c>
      <c r="J77" s="19"/>
      <c r="K77" s="19"/>
      <c r="L77" s="19">
        <v>1</v>
      </c>
      <c r="M77" s="19">
        <f t="shared" si="21"/>
        <v>1</v>
      </c>
      <c r="N77" s="35"/>
      <c r="O77" s="36" t="s">
        <v>137</v>
      </c>
      <c r="P77" s="234">
        <f t="shared" si="20"/>
        <v>0</v>
      </c>
      <c r="Q77" s="16"/>
    </row>
    <row r="78" spans="1:20" ht="17.25" customHeight="1" x14ac:dyDescent="0.3">
      <c r="A78" s="16"/>
      <c r="B78" s="14" t="s">
        <v>60</v>
      </c>
      <c r="C78" s="15" t="s">
        <v>44</v>
      </c>
      <c r="D78" s="26">
        <v>30.5</v>
      </c>
      <c r="E78" s="47" t="s">
        <v>187</v>
      </c>
      <c r="F78" s="26">
        <f>9%*D78</f>
        <v>2.7450000000000001</v>
      </c>
      <c r="G78" s="26">
        <f>20%*D78</f>
        <v>6.1000000000000005</v>
      </c>
      <c r="H78" s="26">
        <f t="shared" si="19"/>
        <v>8.8450000000000006</v>
      </c>
      <c r="I78" s="19">
        <v>0</v>
      </c>
      <c r="J78" s="19">
        <v>0</v>
      </c>
      <c r="K78" s="19">
        <v>0</v>
      </c>
      <c r="L78" s="19">
        <v>0</v>
      </c>
      <c r="M78" s="19">
        <f t="shared" si="21"/>
        <v>0</v>
      </c>
      <c r="N78" s="35"/>
      <c r="O78" s="36" t="s">
        <v>145</v>
      </c>
      <c r="P78" s="234">
        <f t="shared" si="20"/>
        <v>0</v>
      </c>
      <c r="Q78" s="16"/>
    </row>
    <row r="79" spans="1:20" ht="15.75" customHeight="1" x14ac:dyDescent="0.3">
      <c r="A79" s="16"/>
      <c r="B79" s="14" t="s">
        <v>61</v>
      </c>
      <c r="C79" s="15" t="s">
        <v>33</v>
      </c>
      <c r="D79" s="26">
        <v>8.3000000000000007</v>
      </c>
      <c r="E79" s="47" t="s">
        <v>187</v>
      </c>
      <c r="F79" s="26">
        <f>9%*D79</f>
        <v>0.747</v>
      </c>
      <c r="G79" s="26">
        <f>15%*D79</f>
        <v>1.2450000000000001</v>
      </c>
      <c r="H79" s="26">
        <f t="shared" si="19"/>
        <v>1.992</v>
      </c>
      <c r="I79" s="19">
        <v>0</v>
      </c>
      <c r="J79" s="19">
        <v>0</v>
      </c>
      <c r="K79" s="19">
        <v>0</v>
      </c>
      <c r="L79" s="19">
        <v>2</v>
      </c>
      <c r="M79" s="19">
        <f t="shared" si="21"/>
        <v>2</v>
      </c>
      <c r="N79" s="35"/>
      <c r="O79" s="36" t="s">
        <v>626</v>
      </c>
      <c r="P79" s="234">
        <f t="shared" si="20"/>
        <v>0</v>
      </c>
      <c r="Q79" s="16"/>
    </row>
    <row r="80" spans="1:20" ht="17.25" customHeight="1" x14ac:dyDescent="0.3">
      <c r="A80" s="16"/>
      <c r="B80" s="14" t="s">
        <v>62</v>
      </c>
      <c r="C80" s="15" t="s">
        <v>32</v>
      </c>
      <c r="D80" s="26">
        <v>1.25</v>
      </c>
      <c r="E80" s="47" t="s">
        <v>187</v>
      </c>
      <c r="F80" s="26">
        <f>1%*D80</f>
        <v>1.2500000000000001E-2</v>
      </c>
      <c r="G80" s="26">
        <f>10%*D80</f>
        <v>0.125</v>
      </c>
      <c r="H80" s="26">
        <f t="shared" si="19"/>
        <v>0.13750000000000001</v>
      </c>
      <c r="I80" s="19">
        <v>0</v>
      </c>
      <c r="J80" s="19">
        <v>0</v>
      </c>
      <c r="K80" s="19">
        <v>0</v>
      </c>
      <c r="L80" s="19">
        <v>0</v>
      </c>
      <c r="M80" s="19">
        <f t="shared" si="21"/>
        <v>0</v>
      </c>
      <c r="N80" s="35"/>
      <c r="O80" s="36"/>
      <c r="P80" s="234">
        <f t="shared" si="20"/>
        <v>0</v>
      </c>
      <c r="Q80" s="16"/>
    </row>
    <row r="81" spans="1:20" ht="16.5" customHeight="1" x14ac:dyDescent="0.3">
      <c r="A81" s="16"/>
      <c r="B81" s="14">
        <v>9</v>
      </c>
      <c r="C81" s="15" t="s">
        <v>30</v>
      </c>
      <c r="D81" s="26">
        <v>9.5</v>
      </c>
      <c r="E81" s="47" t="s">
        <v>187</v>
      </c>
      <c r="F81" s="26">
        <f>11%*D81</f>
        <v>1.0449999999999999</v>
      </c>
      <c r="G81" s="26">
        <f>15%*D81</f>
        <v>1.425</v>
      </c>
      <c r="H81" s="26">
        <f t="shared" si="19"/>
        <v>2.4699999999999998</v>
      </c>
      <c r="I81" s="19">
        <v>0</v>
      </c>
      <c r="J81" s="19">
        <v>0</v>
      </c>
      <c r="K81" s="19">
        <v>0</v>
      </c>
      <c r="L81" s="19">
        <v>0</v>
      </c>
      <c r="M81" s="19">
        <f t="shared" si="21"/>
        <v>0</v>
      </c>
      <c r="N81" s="35"/>
      <c r="O81" s="36"/>
      <c r="P81" s="234">
        <f t="shared" si="20"/>
        <v>0</v>
      </c>
      <c r="Q81" s="16"/>
    </row>
    <row r="82" spans="1:20" ht="17.25" customHeight="1" x14ac:dyDescent="0.3">
      <c r="A82" s="87"/>
      <c r="B82" s="55" t="s">
        <v>64</v>
      </c>
      <c r="C82" s="56" t="s">
        <v>31</v>
      </c>
      <c r="D82" s="57">
        <v>6</v>
      </c>
      <c r="E82" s="47" t="s">
        <v>187</v>
      </c>
      <c r="F82" s="26">
        <f>14%*D82</f>
        <v>0.84000000000000008</v>
      </c>
      <c r="G82" s="26">
        <f>10%*D82</f>
        <v>0.60000000000000009</v>
      </c>
      <c r="H82" s="26">
        <f t="shared" si="19"/>
        <v>1.4400000000000002</v>
      </c>
      <c r="I82" s="79">
        <v>0</v>
      </c>
      <c r="J82" s="79">
        <v>0</v>
      </c>
      <c r="K82" s="79">
        <v>0</v>
      </c>
      <c r="L82" s="79">
        <v>2</v>
      </c>
      <c r="M82" s="79">
        <f t="shared" si="21"/>
        <v>2</v>
      </c>
      <c r="N82" s="80"/>
      <c r="O82" s="81"/>
      <c r="P82" s="234">
        <f t="shared" si="20"/>
        <v>0</v>
      </c>
      <c r="Q82" s="87"/>
    </row>
    <row r="83" spans="1:20" ht="18.75" customHeight="1" x14ac:dyDescent="0.3">
      <c r="A83" s="75"/>
      <c r="B83" s="72" t="s">
        <v>349</v>
      </c>
      <c r="C83" s="72"/>
      <c r="D83" s="73">
        <f>SUM(D74:D82)</f>
        <v>102.95</v>
      </c>
      <c r="E83" s="74"/>
      <c r="F83" s="73">
        <f t="shared" ref="F83:K83" si="22">SUM(F74:F82)</f>
        <v>17.896899999999999</v>
      </c>
      <c r="G83" s="73">
        <f t="shared" si="22"/>
        <v>24.240000000000006</v>
      </c>
      <c r="H83" s="73">
        <f t="shared" si="22"/>
        <v>42.136899999999997</v>
      </c>
      <c r="I83" s="83">
        <f t="shared" si="22"/>
        <v>0</v>
      </c>
      <c r="J83" s="83">
        <f t="shared" si="22"/>
        <v>0</v>
      </c>
      <c r="K83" s="83">
        <f t="shared" si="22"/>
        <v>11</v>
      </c>
      <c r="L83" s="83">
        <f>SUM(L73:L82)</f>
        <v>8</v>
      </c>
      <c r="M83" s="83">
        <f>SUM(M74:M82)</f>
        <v>19</v>
      </c>
      <c r="N83" s="76"/>
      <c r="O83" s="77"/>
      <c r="P83" s="184">
        <f>SUM(P74:P82)</f>
        <v>0</v>
      </c>
      <c r="Q83" s="75"/>
    </row>
    <row r="84" spans="1:20" ht="17.25" customHeight="1" x14ac:dyDescent="0.3">
      <c r="A84" s="103">
        <v>6</v>
      </c>
      <c r="B84" s="104" t="s">
        <v>116</v>
      </c>
      <c r="C84" s="104"/>
      <c r="D84" s="105"/>
      <c r="E84" s="106"/>
      <c r="F84" s="105"/>
      <c r="G84" s="107"/>
      <c r="H84" s="105"/>
      <c r="I84" s="107"/>
      <c r="J84" s="107"/>
      <c r="K84" s="107"/>
      <c r="L84" s="107"/>
      <c r="M84" s="107"/>
      <c r="N84" s="69"/>
      <c r="O84" s="70"/>
      <c r="P84" s="233"/>
      <c r="Q84" s="68"/>
      <c r="S84" s="1" t="s">
        <v>596</v>
      </c>
    </row>
    <row r="85" spans="1:20" ht="19.5" customHeight="1" x14ac:dyDescent="0.3">
      <c r="A85" s="27"/>
      <c r="B85" s="152" t="s">
        <v>57</v>
      </c>
      <c r="C85" s="153" t="s">
        <v>30</v>
      </c>
      <c r="D85" s="154">
        <v>57.9</v>
      </c>
      <c r="E85" s="101" t="s">
        <v>607</v>
      </c>
      <c r="F85" s="154">
        <f>5%*D85</f>
        <v>2.895</v>
      </c>
      <c r="G85" s="155">
        <f>20%*D85</f>
        <v>11.58</v>
      </c>
      <c r="H85" s="154">
        <f t="shared" ref="H85:H90" si="23">SUM(F85:G85)</f>
        <v>14.475</v>
      </c>
      <c r="I85" s="155">
        <v>0</v>
      </c>
      <c r="J85" s="155"/>
      <c r="K85" s="155">
        <v>2</v>
      </c>
      <c r="L85" s="155">
        <v>5</v>
      </c>
      <c r="M85" s="155">
        <f>SUM(I85:L85)</f>
        <v>7</v>
      </c>
      <c r="N85" s="156" t="s">
        <v>86</v>
      </c>
      <c r="O85" s="40" t="s">
        <v>271</v>
      </c>
      <c r="P85" s="235">
        <f t="shared" ref="P85:P90" si="24">G85*0.347*30*16000000</f>
        <v>1928764800</v>
      </c>
      <c r="Q85" s="27"/>
      <c r="S85" s="1" t="s">
        <v>597</v>
      </c>
      <c r="T85" s="1" t="s">
        <v>598</v>
      </c>
    </row>
    <row r="86" spans="1:20" ht="16.5" customHeight="1" x14ac:dyDescent="0.3">
      <c r="A86" s="27"/>
      <c r="B86" s="152"/>
      <c r="C86" s="153"/>
      <c r="D86" s="154"/>
      <c r="E86" s="101" t="s">
        <v>625</v>
      </c>
      <c r="F86" s="154">
        <f>3%*D85</f>
        <v>1.7369999999999999</v>
      </c>
      <c r="G86" s="155">
        <f>6%*D85</f>
        <v>3.4739999999999998</v>
      </c>
      <c r="H86" s="154">
        <f t="shared" ref="H86" si="25">SUM(F86:G86)</f>
        <v>5.2109999999999994</v>
      </c>
      <c r="I86" s="155">
        <v>0</v>
      </c>
      <c r="J86" s="155"/>
      <c r="K86" s="155"/>
      <c r="L86" s="155">
        <v>2</v>
      </c>
      <c r="M86" s="155">
        <f>SUM(I86:L86)</f>
        <v>2</v>
      </c>
      <c r="N86" s="156"/>
      <c r="O86" s="40"/>
      <c r="P86" s="235">
        <f t="shared" si="24"/>
        <v>578629439.99999988</v>
      </c>
      <c r="Q86" s="27"/>
    </row>
    <row r="87" spans="1:20" ht="18" customHeight="1" x14ac:dyDescent="0.3">
      <c r="A87" s="16"/>
      <c r="B87" s="14" t="s">
        <v>58</v>
      </c>
      <c r="C87" s="15" t="s">
        <v>44</v>
      </c>
      <c r="D87" s="26">
        <v>84.65</v>
      </c>
      <c r="E87" s="47" t="s">
        <v>182</v>
      </c>
      <c r="F87" s="26">
        <f>5%*D87</f>
        <v>4.2325000000000008</v>
      </c>
      <c r="G87" s="19">
        <f>20%*D87</f>
        <v>16.930000000000003</v>
      </c>
      <c r="H87" s="26">
        <f t="shared" si="23"/>
        <v>21.162500000000005</v>
      </c>
      <c r="I87" s="19">
        <v>0</v>
      </c>
      <c r="J87" s="19"/>
      <c r="K87" s="19"/>
      <c r="L87" s="19">
        <v>5</v>
      </c>
      <c r="M87" s="19">
        <f t="shared" ref="M87:M90" si="26">SUM(I87:L87)</f>
        <v>5</v>
      </c>
      <c r="N87" s="35"/>
      <c r="O87" s="36" t="s">
        <v>272</v>
      </c>
      <c r="P87" s="235">
        <f t="shared" si="24"/>
        <v>2819860800.0000005</v>
      </c>
      <c r="Q87" s="16"/>
      <c r="S87" s="1" t="s">
        <v>599</v>
      </c>
      <c r="T87" s="1" t="s">
        <v>600</v>
      </c>
    </row>
    <row r="88" spans="1:20" ht="29.25" customHeight="1" x14ac:dyDescent="0.3">
      <c r="A88" s="16"/>
      <c r="B88" s="14"/>
      <c r="C88" s="15"/>
      <c r="D88" s="26"/>
      <c r="E88" s="101" t="s">
        <v>181</v>
      </c>
      <c r="F88" s="96">
        <f>10%*D87</f>
        <v>8.4650000000000016</v>
      </c>
      <c r="G88" s="97">
        <f>3%*D87</f>
        <v>2.5394999999999999</v>
      </c>
      <c r="H88" s="96">
        <f t="shared" si="23"/>
        <v>11.004500000000002</v>
      </c>
      <c r="I88" s="97">
        <v>0</v>
      </c>
      <c r="J88" s="97"/>
      <c r="K88" s="97">
        <v>0</v>
      </c>
      <c r="L88" s="97">
        <v>4</v>
      </c>
      <c r="M88" s="97">
        <f>SUM(I88:L88)</f>
        <v>4</v>
      </c>
      <c r="N88" s="35"/>
      <c r="O88" s="159" t="s">
        <v>273</v>
      </c>
      <c r="P88" s="235">
        <f t="shared" si="24"/>
        <v>422979119.99999994</v>
      </c>
      <c r="Q88" s="16"/>
    </row>
    <row r="89" spans="1:20" ht="27.75" customHeight="1" x14ac:dyDescent="0.3">
      <c r="A89" s="16"/>
      <c r="B89" s="14" t="s">
        <v>59</v>
      </c>
      <c r="C89" s="15" t="s">
        <v>33</v>
      </c>
      <c r="D89" s="26">
        <v>14.2</v>
      </c>
      <c r="E89" s="101" t="s">
        <v>181</v>
      </c>
      <c r="F89" s="26">
        <f>11%*D89</f>
        <v>1.5619999999999998</v>
      </c>
      <c r="G89" s="155">
        <f>5%*D89</f>
        <v>0.71</v>
      </c>
      <c r="H89" s="26">
        <f t="shared" si="23"/>
        <v>2.2719999999999998</v>
      </c>
      <c r="I89" s="19">
        <v>0</v>
      </c>
      <c r="J89" s="19"/>
      <c r="K89" s="19"/>
      <c r="L89" s="19"/>
      <c r="M89" s="19">
        <f t="shared" si="26"/>
        <v>0</v>
      </c>
      <c r="N89" s="35" t="s">
        <v>88</v>
      </c>
      <c r="O89" s="36" t="s">
        <v>274</v>
      </c>
      <c r="P89" s="235">
        <f t="shared" si="24"/>
        <v>118257600</v>
      </c>
      <c r="Q89" s="16"/>
      <c r="S89" s="1" t="s">
        <v>592</v>
      </c>
    </row>
    <row r="90" spans="1:20" ht="43.5" customHeight="1" x14ac:dyDescent="0.3">
      <c r="A90" s="108"/>
      <c r="B90" s="128" t="s">
        <v>61</v>
      </c>
      <c r="C90" s="126" t="s">
        <v>35</v>
      </c>
      <c r="D90" s="127">
        <v>36.72</v>
      </c>
      <c r="E90" s="142" t="s">
        <v>183</v>
      </c>
      <c r="F90" s="127">
        <f>7%*D90</f>
        <v>2.5704000000000002</v>
      </c>
      <c r="G90" s="155">
        <f>5%*D90</f>
        <v>1.8360000000000001</v>
      </c>
      <c r="H90" s="127">
        <f t="shared" si="23"/>
        <v>4.4064000000000005</v>
      </c>
      <c r="I90" s="143">
        <v>0</v>
      </c>
      <c r="J90" s="143">
        <v>0</v>
      </c>
      <c r="K90" s="143">
        <v>0</v>
      </c>
      <c r="L90" s="143">
        <v>2</v>
      </c>
      <c r="M90" s="143">
        <f t="shared" si="26"/>
        <v>2</v>
      </c>
      <c r="N90" s="157" t="s">
        <v>254</v>
      </c>
      <c r="O90" s="158" t="s">
        <v>137</v>
      </c>
      <c r="P90" s="236">
        <f t="shared" si="24"/>
        <v>305804160</v>
      </c>
      <c r="Q90" s="87"/>
      <c r="S90" s="217" t="s">
        <v>601</v>
      </c>
      <c r="T90" s="216" t="s">
        <v>602</v>
      </c>
    </row>
    <row r="91" spans="1:20" ht="17.25" customHeight="1" x14ac:dyDescent="0.3">
      <c r="A91" s="75"/>
      <c r="B91" s="136" t="s">
        <v>351</v>
      </c>
      <c r="C91" s="137"/>
      <c r="D91" s="138">
        <f>SUM(D85:D90)</f>
        <v>193.47</v>
      </c>
      <c r="E91" s="139"/>
      <c r="F91" s="138">
        <f t="shared" ref="F91:M91" si="27">SUM(F85:F90)</f>
        <v>21.461900000000004</v>
      </c>
      <c r="G91" s="140">
        <f t="shared" si="27"/>
        <v>37.069499999999998</v>
      </c>
      <c r="H91" s="138">
        <f t="shared" si="27"/>
        <v>58.531399999999998</v>
      </c>
      <c r="I91" s="140">
        <f t="shared" si="27"/>
        <v>0</v>
      </c>
      <c r="J91" s="140">
        <f t="shared" si="27"/>
        <v>0</v>
      </c>
      <c r="K91" s="140">
        <f t="shared" si="27"/>
        <v>2</v>
      </c>
      <c r="L91" s="140">
        <f t="shared" si="27"/>
        <v>18</v>
      </c>
      <c r="M91" s="140">
        <f t="shared" si="27"/>
        <v>20</v>
      </c>
      <c r="N91" s="76"/>
      <c r="O91" s="77"/>
      <c r="P91" s="237">
        <f>SUM(P85:P90)</f>
        <v>6174295920</v>
      </c>
      <c r="Q91" s="75"/>
    </row>
    <row r="92" spans="1:20" ht="13.5" customHeight="1" x14ac:dyDescent="0.3">
      <c r="A92" s="63">
        <v>7</v>
      </c>
      <c r="B92" s="8" t="s">
        <v>117</v>
      </c>
      <c r="C92" s="10"/>
      <c r="D92" s="90"/>
      <c r="E92" s="67"/>
      <c r="F92" s="66"/>
      <c r="G92" s="218"/>
      <c r="H92" s="66"/>
      <c r="I92" s="82"/>
      <c r="J92" s="82"/>
      <c r="K92" s="82"/>
      <c r="L92" s="82"/>
      <c r="M92" s="82"/>
      <c r="N92" s="69"/>
      <c r="O92" s="70"/>
      <c r="P92" s="233"/>
      <c r="Q92" s="68"/>
    </row>
    <row r="93" spans="1:20" ht="24.75" customHeight="1" x14ac:dyDescent="0.3">
      <c r="A93" s="16"/>
      <c r="B93" s="14" t="s">
        <v>57</v>
      </c>
      <c r="C93" s="15" t="s">
        <v>22</v>
      </c>
      <c r="D93" s="26">
        <v>296.95</v>
      </c>
      <c r="E93" s="101" t="s">
        <v>203</v>
      </c>
      <c r="F93" s="96">
        <f>2%*D93</f>
        <v>5.9390000000000001</v>
      </c>
      <c r="G93" s="223"/>
      <c r="H93" s="96">
        <f t="shared" ref="H93:H101" si="28">SUM(F93:G93)</f>
        <v>5.9390000000000001</v>
      </c>
      <c r="I93" s="97">
        <v>0</v>
      </c>
      <c r="J93" s="97"/>
      <c r="K93" s="97">
        <v>5</v>
      </c>
      <c r="L93" s="97">
        <v>1</v>
      </c>
      <c r="M93" s="97">
        <f>SUM(I93:L93)</f>
        <v>6</v>
      </c>
      <c r="N93" s="35"/>
      <c r="O93" s="40" t="s">
        <v>211</v>
      </c>
      <c r="P93" s="238">
        <f t="shared" ref="P93:P102" si="29">G93*0.3*30%*50000000</f>
        <v>0</v>
      </c>
      <c r="Q93" s="16"/>
    </row>
    <row r="94" spans="1:20" ht="15" customHeight="1" x14ac:dyDescent="0.3">
      <c r="A94" s="16"/>
      <c r="B94" s="14"/>
      <c r="C94" s="15"/>
      <c r="D94" s="26"/>
      <c r="E94" s="101" t="s">
        <v>184</v>
      </c>
      <c r="F94" s="96">
        <f>1%*D93</f>
        <v>2.9695</v>
      </c>
      <c r="G94" s="97">
        <f>15%*D93</f>
        <v>44.542499999999997</v>
      </c>
      <c r="H94" s="96">
        <f>SUM(F94:G94)</f>
        <v>47.512</v>
      </c>
      <c r="I94" s="97">
        <v>0</v>
      </c>
      <c r="J94" s="97"/>
      <c r="K94" s="97">
        <v>0</v>
      </c>
      <c r="L94" s="97">
        <v>2</v>
      </c>
      <c r="M94" s="97">
        <f>SUM(I94:L94)</f>
        <v>2</v>
      </c>
      <c r="N94" s="35"/>
      <c r="O94" s="40"/>
      <c r="P94" s="238">
        <f t="shared" si="29"/>
        <v>200441249.99999994</v>
      </c>
      <c r="Q94" s="16"/>
    </row>
    <row r="95" spans="1:20" ht="32.25" customHeight="1" x14ac:dyDescent="0.3">
      <c r="A95" s="16"/>
      <c r="B95" s="14" t="s">
        <v>58</v>
      </c>
      <c r="C95" s="15" t="s">
        <v>42</v>
      </c>
      <c r="D95" s="26">
        <v>248.5</v>
      </c>
      <c r="E95" s="101" t="s">
        <v>203</v>
      </c>
      <c r="F95" s="96">
        <f>3%*D95</f>
        <v>7.4550000000000001</v>
      </c>
      <c r="G95" s="97"/>
      <c r="H95" s="96">
        <f t="shared" si="28"/>
        <v>7.4550000000000001</v>
      </c>
      <c r="I95" s="97">
        <v>0</v>
      </c>
      <c r="J95" s="97"/>
      <c r="K95" s="97">
        <v>0</v>
      </c>
      <c r="L95" s="97">
        <v>1</v>
      </c>
      <c r="M95" s="97">
        <f>SUM(I95:L95)</f>
        <v>1</v>
      </c>
      <c r="N95" s="35"/>
      <c r="O95" s="40" t="s">
        <v>137</v>
      </c>
      <c r="P95" s="238">
        <f t="shared" si="29"/>
        <v>0</v>
      </c>
      <c r="Q95" s="16"/>
      <c r="R95" s="1" t="s">
        <v>333</v>
      </c>
      <c r="S95" s="1" t="s">
        <v>593</v>
      </c>
    </row>
    <row r="96" spans="1:20" ht="14.25" customHeight="1" x14ac:dyDescent="0.3">
      <c r="A96" s="16"/>
      <c r="B96" s="14"/>
      <c r="C96" s="15"/>
      <c r="D96" s="26"/>
      <c r="E96" s="101" t="s">
        <v>184</v>
      </c>
      <c r="F96" s="96">
        <f>5%*D95</f>
        <v>12.425000000000001</v>
      </c>
      <c r="G96" s="97">
        <f>7%*D95</f>
        <v>17.395000000000003</v>
      </c>
      <c r="H96" s="96">
        <f>SUM(F96:G96)</f>
        <v>29.820000000000004</v>
      </c>
      <c r="I96" s="97"/>
      <c r="J96" s="97"/>
      <c r="K96" s="97"/>
      <c r="L96" s="97"/>
      <c r="M96" s="97"/>
      <c r="N96" s="35"/>
      <c r="O96" s="40"/>
      <c r="P96" s="238">
        <f t="shared" si="29"/>
        <v>78277500.000000015</v>
      </c>
      <c r="Q96" s="16"/>
      <c r="S96" s="1" t="s">
        <v>594</v>
      </c>
    </row>
    <row r="97" spans="1:19" ht="22.5" customHeight="1" x14ac:dyDescent="0.3">
      <c r="A97" s="16"/>
      <c r="B97" s="14" t="s">
        <v>59</v>
      </c>
      <c r="C97" s="15" t="s">
        <v>21</v>
      </c>
      <c r="D97" s="18">
        <v>156.94999999999999</v>
      </c>
      <c r="E97" s="101" t="s">
        <v>203</v>
      </c>
      <c r="F97" s="225">
        <f>5%*D97</f>
        <v>7.8475000000000001</v>
      </c>
      <c r="G97" s="145"/>
      <c r="H97" s="96">
        <f t="shared" si="28"/>
        <v>7.8475000000000001</v>
      </c>
      <c r="I97" s="97">
        <v>0</v>
      </c>
      <c r="J97" s="97"/>
      <c r="K97" s="97">
        <v>0</v>
      </c>
      <c r="L97" s="97">
        <v>3</v>
      </c>
      <c r="M97" s="97">
        <f>SUM(I97:L97)</f>
        <v>3</v>
      </c>
      <c r="N97" s="35"/>
      <c r="O97" s="36"/>
      <c r="P97" s="238">
        <f t="shared" si="29"/>
        <v>0</v>
      </c>
      <c r="Q97" s="16"/>
      <c r="S97" s="1" t="s">
        <v>595</v>
      </c>
    </row>
    <row r="98" spans="1:19" ht="15.75" customHeight="1" x14ac:dyDescent="0.3">
      <c r="A98" s="16"/>
      <c r="B98" s="14"/>
      <c r="C98" s="15"/>
      <c r="D98" s="18"/>
      <c r="E98" s="101" t="s">
        <v>184</v>
      </c>
      <c r="F98" s="96">
        <f>5%*D97</f>
        <v>7.8475000000000001</v>
      </c>
      <c r="G98" s="97"/>
      <c r="H98" s="96">
        <f>SUM(F98:G98)</f>
        <v>7.8475000000000001</v>
      </c>
      <c r="I98" s="97"/>
      <c r="J98" s="97"/>
      <c r="K98" s="97"/>
      <c r="L98" s="97"/>
      <c r="M98" s="97"/>
      <c r="N98" s="35"/>
      <c r="O98" s="36"/>
      <c r="P98" s="238">
        <f t="shared" si="29"/>
        <v>0</v>
      </c>
      <c r="Q98" s="16"/>
    </row>
    <row r="99" spans="1:19" ht="24" customHeight="1" x14ac:dyDescent="0.3">
      <c r="A99" s="16"/>
      <c r="B99" s="14" t="s">
        <v>60</v>
      </c>
      <c r="C99" s="15" t="s">
        <v>43</v>
      </c>
      <c r="D99" s="26">
        <v>455.8</v>
      </c>
      <c r="E99" s="101" t="s">
        <v>221</v>
      </c>
      <c r="F99" s="96">
        <f>5%*D99</f>
        <v>22.790000000000003</v>
      </c>
      <c r="G99" s="97">
        <v>0</v>
      </c>
      <c r="H99" s="96">
        <f t="shared" si="28"/>
        <v>22.790000000000003</v>
      </c>
      <c r="I99" s="97">
        <v>0</v>
      </c>
      <c r="J99" s="97"/>
      <c r="K99" s="97">
        <v>0</v>
      </c>
      <c r="L99" s="97">
        <v>2</v>
      </c>
      <c r="M99" s="97">
        <f>SUM(I99:L99)</f>
        <v>2</v>
      </c>
      <c r="N99" s="35"/>
      <c r="O99" s="36"/>
      <c r="P99" s="238">
        <f t="shared" si="29"/>
        <v>0</v>
      </c>
      <c r="Q99" s="16"/>
    </row>
    <row r="100" spans="1:19" ht="20.25" customHeight="1" x14ac:dyDescent="0.3">
      <c r="A100" s="16"/>
      <c r="B100" s="14"/>
      <c r="C100" s="15"/>
      <c r="D100" s="26"/>
      <c r="E100" s="101" t="s">
        <v>184</v>
      </c>
      <c r="F100" s="96">
        <f>5%*D99</f>
        <v>22.790000000000003</v>
      </c>
      <c r="G100" s="96">
        <f>1%*D99</f>
        <v>4.5579999999999998</v>
      </c>
      <c r="H100" s="96">
        <f>SUM(F100:G100)</f>
        <v>27.348000000000003</v>
      </c>
      <c r="I100" s="97"/>
      <c r="J100" s="97"/>
      <c r="K100" s="97"/>
      <c r="L100" s="97"/>
      <c r="M100" s="97"/>
      <c r="N100" s="35"/>
      <c r="O100" s="36"/>
      <c r="P100" s="238">
        <f t="shared" si="29"/>
        <v>20511000</v>
      </c>
      <c r="Q100" s="16"/>
    </row>
    <row r="101" spans="1:19" ht="23.25" customHeight="1" x14ac:dyDescent="0.3">
      <c r="A101" s="16"/>
      <c r="B101" s="14" t="s">
        <v>61</v>
      </c>
      <c r="C101" s="15" t="s">
        <v>44</v>
      </c>
      <c r="D101" s="26">
        <v>87.95</v>
      </c>
      <c r="E101" s="101" t="s">
        <v>203</v>
      </c>
      <c r="F101" s="26">
        <f>10%*D101</f>
        <v>8.7949999999999999</v>
      </c>
      <c r="G101" s="219">
        <v>0</v>
      </c>
      <c r="H101" s="26">
        <f t="shared" si="28"/>
        <v>8.7949999999999999</v>
      </c>
      <c r="I101" s="19">
        <v>0</v>
      </c>
      <c r="J101" s="19"/>
      <c r="K101" s="19">
        <v>2</v>
      </c>
      <c r="L101" s="19">
        <v>3</v>
      </c>
      <c r="M101" s="19">
        <f t="shared" ref="M101:M102" si="30">SUM(I101:L101)</f>
        <v>5</v>
      </c>
      <c r="N101" s="35"/>
      <c r="O101" s="36"/>
      <c r="P101" s="238">
        <f t="shared" si="29"/>
        <v>0</v>
      </c>
      <c r="Q101" s="16"/>
    </row>
    <row r="102" spans="1:19" ht="18.75" customHeight="1" x14ac:dyDescent="0.3">
      <c r="A102" s="87"/>
      <c r="B102" s="14"/>
      <c r="C102" s="15"/>
      <c r="D102" s="26"/>
      <c r="E102" s="101" t="s">
        <v>184</v>
      </c>
      <c r="F102" s="26"/>
      <c r="G102" s="220">
        <f>5%*D101</f>
        <v>4.3975</v>
      </c>
      <c r="H102" s="26">
        <f>SUM(F102:G102)</f>
        <v>4.3975</v>
      </c>
      <c r="I102" s="97">
        <v>0</v>
      </c>
      <c r="J102" s="97">
        <v>0</v>
      </c>
      <c r="K102" s="97">
        <v>0</v>
      </c>
      <c r="L102" s="97">
        <v>0</v>
      </c>
      <c r="M102" s="97">
        <f t="shared" si="30"/>
        <v>0</v>
      </c>
      <c r="N102" s="35"/>
      <c r="O102" s="36"/>
      <c r="P102" s="238">
        <f t="shared" si="29"/>
        <v>19788750</v>
      </c>
      <c r="Q102" s="16"/>
    </row>
    <row r="103" spans="1:19" ht="18.75" customHeight="1" x14ac:dyDescent="0.3">
      <c r="A103" s="75"/>
      <c r="B103" s="72" t="s">
        <v>350</v>
      </c>
      <c r="C103" s="72"/>
      <c r="D103" s="73">
        <f>SUM(D87:D102)</f>
        <v>1575.19</v>
      </c>
      <c r="E103" s="74"/>
      <c r="F103" s="73">
        <f>SUM(F79:F102)</f>
        <v>162.32369999999997</v>
      </c>
      <c r="G103" s="83">
        <f>SUM(G79:G102)</f>
        <v>172.667</v>
      </c>
      <c r="H103" s="73">
        <f>SUM(H79:H102)</f>
        <v>334.99070000000012</v>
      </c>
      <c r="I103" s="83">
        <f>SUM(I87:I102)</f>
        <v>0</v>
      </c>
      <c r="J103" s="83">
        <f>SUM(J87:J102)</f>
        <v>0</v>
      </c>
      <c r="K103" s="83">
        <f>SUM(K87:K102)</f>
        <v>9</v>
      </c>
      <c r="L103" s="83">
        <f>SUM(L87:L102)</f>
        <v>41</v>
      </c>
      <c r="M103" s="83">
        <f>SUM(M85:M102)</f>
        <v>59</v>
      </c>
      <c r="N103" s="76"/>
      <c r="O103" s="77"/>
      <c r="P103" s="184">
        <f>SUM(P92:P102)</f>
        <v>319018499.99999994</v>
      </c>
      <c r="Q103" s="75"/>
    </row>
    <row r="104" spans="1:19" ht="4.5" customHeight="1" x14ac:dyDescent="0.3">
      <c r="F104" s="2"/>
      <c r="G104" s="2"/>
      <c r="H104" s="2"/>
      <c r="I104" s="2"/>
      <c r="J104" s="2"/>
      <c r="K104" s="2"/>
      <c r="L104" s="2"/>
      <c r="M104" s="2"/>
    </row>
    <row r="105" spans="1:19" ht="14.25" customHeight="1" x14ac:dyDescent="0.3">
      <c r="F105" s="2"/>
      <c r="G105" s="2"/>
      <c r="H105" s="2"/>
      <c r="I105" s="2"/>
      <c r="J105" s="2" t="s">
        <v>634</v>
      </c>
      <c r="K105" s="2"/>
      <c r="L105" s="2"/>
      <c r="M105" s="2"/>
    </row>
    <row r="106" spans="1:19" ht="12" customHeight="1" x14ac:dyDescent="0.3">
      <c r="A106" s="395" t="s">
        <v>80</v>
      </c>
      <c r="B106" s="395"/>
      <c r="C106" s="395"/>
      <c r="D106" s="395"/>
    </row>
    <row r="107" spans="1:19" x14ac:dyDescent="0.3">
      <c r="A107" s="395" t="s">
        <v>81</v>
      </c>
      <c r="B107" s="395"/>
      <c r="C107" s="395"/>
      <c r="D107" s="395"/>
      <c r="J107" s="1" t="s">
        <v>85</v>
      </c>
    </row>
    <row r="108" spans="1:19" x14ac:dyDescent="0.3">
      <c r="A108" s="395" t="s">
        <v>82</v>
      </c>
      <c r="B108" s="395"/>
      <c r="C108" s="395"/>
      <c r="D108" s="395"/>
      <c r="J108" s="3" t="s">
        <v>86</v>
      </c>
      <c r="K108" s="1" t="s">
        <v>87</v>
      </c>
      <c r="O108" s="1" t="s">
        <v>90</v>
      </c>
    </row>
    <row r="109" spans="1:19" x14ac:dyDescent="0.3">
      <c r="A109" s="395" t="s">
        <v>83</v>
      </c>
      <c r="B109" s="395"/>
      <c r="C109" s="395"/>
      <c r="D109" s="395"/>
      <c r="K109" s="1" t="s">
        <v>91</v>
      </c>
    </row>
    <row r="110" spans="1:19" ht="9.75" customHeight="1" x14ac:dyDescent="0.3"/>
    <row r="111" spans="1:19" x14ac:dyDescent="0.3">
      <c r="J111" s="3" t="s">
        <v>88</v>
      </c>
      <c r="K111" s="1" t="s">
        <v>89</v>
      </c>
      <c r="O111" s="1" t="s">
        <v>90</v>
      </c>
    </row>
    <row r="112" spans="1:19" x14ac:dyDescent="0.3">
      <c r="K112" s="1" t="s">
        <v>92</v>
      </c>
    </row>
    <row r="113" spans="1:15" ht="13.5" customHeight="1" x14ac:dyDescent="0.3">
      <c r="A113" s="398" t="s">
        <v>175</v>
      </c>
      <c r="B113" s="398"/>
      <c r="C113" s="398"/>
      <c r="D113" s="398"/>
    </row>
    <row r="114" spans="1:15" x14ac:dyDescent="0.3">
      <c r="A114" s="395" t="s">
        <v>190</v>
      </c>
      <c r="B114" s="395"/>
      <c r="C114" s="395"/>
      <c r="D114" s="395"/>
      <c r="J114" s="1" t="s">
        <v>254</v>
      </c>
      <c r="K114" s="1" t="s">
        <v>255</v>
      </c>
      <c r="O114" s="1" t="s">
        <v>90</v>
      </c>
    </row>
    <row r="115" spans="1:15" x14ac:dyDescent="0.3">
      <c r="K115" s="1" t="s">
        <v>256</v>
      </c>
    </row>
  </sheetData>
  <mergeCells count="21">
    <mergeCell ref="A107:D107"/>
    <mergeCell ref="A108:D108"/>
    <mergeCell ref="A109:D109"/>
    <mergeCell ref="A113:D113"/>
    <mergeCell ref="A114:D114"/>
    <mergeCell ref="A106:D106"/>
    <mergeCell ref="A1:Q1"/>
    <mergeCell ref="A2:Q2"/>
    <mergeCell ref="A6:A7"/>
    <mergeCell ref="B6:C6"/>
    <mergeCell ref="D6:D7"/>
    <mergeCell ref="E6:E7"/>
    <mergeCell ref="F6:H6"/>
    <mergeCell ref="I6:M6"/>
    <mergeCell ref="N6:O7"/>
    <mergeCell ref="P6:P7"/>
    <mergeCell ref="Q6:Q7"/>
    <mergeCell ref="B7:C7"/>
    <mergeCell ref="B24:C24"/>
    <mergeCell ref="O26:O29"/>
    <mergeCell ref="B30:C30"/>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T115"/>
  <sheetViews>
    <sheetView view="pageBreakPreview" zoomScale="96" zoomScaleNormal="100" zoomScaleSheetLayoutView="96" workbookViewId="0">
      <selection activeCell="J54" sqref="J54"/>
    </sheetView>
  </sheetViews>
  <sheetFormatPr defaultColWidth="9.1796875" defaultRowHeight="14" x14ac:dyDescent="0.3"/>
  <cols>
    <col min="1" max="1" width="5.26953125" style="1" customWidth="1"/>
    <col min="2" max="2" width="2.1796875" style="1" customWidth="1"/>
    <col min="3" max="3" width="17.1796875" style="1" customWidth="1"/>
    <col min="4" max="4" width="9.1796875" style="1" customWidth="1"/>
    <col min="5" max="5" width="31.26953125" style="1" customWidth="1"/>
    <col min="6" max="6" width="11" style="1" bestFit="1" customWidth="1"/>
    <col min="7" max="7" width="8.81640625" style="1" customWidth="1"/>
    <col min="8" max="8" width="9" style="1" customWidth="1"/>
    <col min="9" max="9" width="6.7265625" style="1" customWidth="1"/>
    <col min="10" max="10" width="7" style="1" customWidth="1"/>
    <col min="11" max="12" width="7.54296875" style="1" customWidth="1"/>
    <col min="13" max="13" width="6.81640625" style="1" bestFit="1" customWidth="1"/>
    <col min="14" max="14" width="2.1796875" style="1" customWidth="1"/>
    <col min="15" max="15" width="17.54296875" style="1" customWidth="1"/>
    <col min="16" max="16" width="12.54296875" style="1" customWidth="1"/>
    <col min="17" max="17" width="8.81640625" style="1" customWidth="1"/>
    <col min="18" max="19" width="9.1796875" style="1"/>
    <col min="20" max="20" width="10.7265625" style="1" customWidth="1"/>
    <col min="21" max="16384" width="9.1796875" style="1"/>
  </cols>
  <sheetData>
    <row r="1" spans="1:20" x14ac:dyDescent="0.3">
      <c r="A1" s="385" t="s">
        <v>260</v>
      </c>
      <c r="B1" s="385"/>
      <c r="C1" s="385"/>
      <c r="D1" s="385"/>
      <c r="E1" s="385"/>
      <c r="F1" s="385"/>
      <c r="G1" s="385"/>
      <c r="H1" s="385"/>
      <c r="I1" s="385"/>
      <c r="J1" s="385"/>
      <c r="K1" s="385"/>
      <c r="L1" s="385"/>
      <c r="M1" s="385"/>
      <c r="N1" s="385"/>
      <c r="O1" s="385"/>
      <c r="P1" s="385"/>
      <c r="Q1" s="385"/>
    </row>
    <row r="2" spans="1:20" ht="14.25" customHeight="1" x14ac:dyDescent="0.3">
      <c r="A2" s="385" t="s">
        <v>261</v>
      </c>
      <c r="B2" s="385"/>
      <c r="C2" s="385"/>
      <c r="D2" s="385"/>
      <c r="E2" s="385"/>
      <c r="F2" s="385"/>
      <c r="G2" s="385"/>
      <c r="H2" s="385"/>
      <c r="I2" s="385"/>
      <c r="J2" s="385"/>
      <c r="K2" s="385"/>
      <c r="L2" s="385"/>
      <c r="M2" s="385"/>
      <c r="N2" s="385"/>
      <c r="O2" s="385"/>
      <c r="P2" s="385"/>
      <c r="Q2" s="385"/>
    </row>
    <row r="3" spans="1:20" ht="14.25" customHeight="1" x14ac:dyDescent="0.3">
      <c r="A3" s="1" t="s">
        <v>1</v>
      </c>
      <c r="C3" s="1" t="s">
        <v>603</v>
      </c>
    </row>
    <row r="4" spans="1:20" ht="14.25" customHeight="1" x14ac:dyDescent="0.3">
      <c r="A4" s="1" t="s">
        <v>2</v>
      </c>
      <c r="C4" s="1" t="s">
        <v>640</v>
      </c>
      <c r="D4" s="4"/>
    </row>
    <row r="5" spans="1:20" ht="6" customHeight="1" x14ac:dyDescent="0.3"/>
    <row r="6" spans="1:20" x14ac:dyDescent="0.3">
      <c r="A6" s="386" t="s">
        <v>3</v>
      </c>
      <c r="B6" s="388" t="s">
        <v>4</v>
      </c>
      <c r="C6" s="388"/>
      <c r="D6" s="389" t="s">
        <v>259</v>
      </c>
      <c r="E6" s="391" t="s">
        <v>7</v>
      </c>
      <c r="F6" s="393" t="s">
        <v>170</v>
      </c>
      <c r="G6" s="393"/>
      <c r="H6" s="393"/>
      <c r="I6" s="393" t="s">
        <v>12</v>
      </c>
      <c r="J6" s="393"/>
      <c r="K6" s="393"/>
      <c r="L6" s="393"/>
      <c r="M6" s="393"/>
      <c r="N6" s="391" t="s">
        <v>17</v>
      </c>
      <c r="O6" s="391"/>
      <c r="P6" s="391" t="s">
        <v>258</v>
      </c>
      <c r="Q6" s="386" t="s">
        <v>192</v>
      </c>
    </row>
    <row r="7" spans="1:20" x14ac:dyDescent="0.3">
      <c r="A7" s="387"/>
      <c r="B7" s="394" t="s">
        <v>5</v>
      </c>
      <c r="C7" s="394"/>
      <c r="D7" s="390"/>
      <c r="E7" s="392"/>
      <c r="F7" s="147" t="s">
        <v>9</v>
      </c>
      <c r="G7" s="147" t="s">
        <v>10</v>
      </c>
      <c r="H7" s="147" t="s">
        <v>11</v>
      </c>
      <c r="I7" s="147" t="s">
        <v>16</v>
      </c>
      <c r="J7" s="147" t="s">
        <v>13</v>
      </c>
      <c r="K7" s="147" t="s">
        <v>14</v>
      </c>
      <c r="L7" s="148" t="s">
        <v>257</v>
      </c>
      <c r="M7" s="147" t="s">
        <v>11</v>
      </c>
      <c r="N7" s="392"/>
      <c r="O7" s="392"/>
      <c r="P7" s="392"/>
      <c r="Q7" s="387"/>
    </row>
    <row r="8" spans="1:20" ht="9" customHeight="1" x14ac:dyDescent="0.3">
      <c r="A8" s="5"/>
      <c r="B8" s="8"/>
      <c r="C8" s="10"/>
      <c r="D8" s="5"/>
      <c r="E8" s="5"/>
      <c r="F8" s="5"/>
      <c r="G8" s="5"/>
      <c r="H8" s="5"/>
      <c r="I8" s="5"/>
      <c r="J8" s="5"/>
      <c r="K8" s="5"/>
      <c r="L8" s="5"/>
      <c r="M8" s="5"/>
      <c r="N8" s="8"/>
      <c r="O8" s="10"/>
      <c r="P8" s="10"/>
      <c r="Q8" s="5"/>
    </row>
    <row r="9" spans="1:20" ht="18.75" customHeight="1" x14ac:dyDescent="0.3">
      <c r="A9" s="13">
        <v>1</v>
      </c>
      <c r="B9" s="14" t="s">
        <v>20</v>
      </c>
      <c r="C9" s="15"/>
      <c r="D9" s="16"/>
      <c r="E9" s="47"/>
      <c r="F9" s="16"/>
      <c r="G9" s="16"/>
      <c r="H9" s="16"/>
      <c r="I9" s="16"/>
      <c r="J9" s="16"/>
      <c r="K9" s="16"/>
      <c r="L9" s="16"/>
      <c r="M9" s="16"/>
      <c r="N9" s="35"/>
      <c r="O9" s="36"/>
      <c r="P9" s="226"/>
      <c r="Q9" s="16"/>
    </row>
    <row r="10" spans="1:20" ht="24" customHeight="1" x14ac:dyDescent="0.3">
      <c r="A10" s="13"/>
      <c r="B10" s="17" t="s">
        <v>57</v>
      </c>
      <c r="C10" s="15" t="s">
        <v>21</v>
      </c>
      <c r="D10" s="18">
        <v>418.06</v>
      </c>
      <c r="E10" s="47" t="s">
        <v>36</v>
      </c>
      <c r="F10" s="26">
        <f>1%*D10</f>
        <v>4.1806000000000001</v>
      </c>
      <c r="G10" s="26">
        <f>0.5%*D10</f>
        <v>2.0903</v>
      </c>
      <c r="H10" s="26">
        <f>SUM(F10:G10)</f>
        <v>6.2709000000000001</v>
      </c>
      <c r="I10" s="19">
        <v>0</v>
      </c>
      <c r="J10" s="19"/>
      <c r="K10" s="19">
        <v>3</v>
      </c>
      <c r="L10" s="19">
        <v>4</v>
      </c>
      <c r="M10" s="20">
        <f>SUM(I10:L10)</f>
        <v>7</v>
      </c>
      <c r="N10" s="37"/>
      <c r="O10" s="36"/>
      <c r="P10" s="227">
        <f t="shared" ref="P10:P23" si="0">G10*0.261*12%*0</f>
        <v>0</v>
      </c>
      <c r="Q10" s="16"/>
      <c r="S10" s="1" t="s">
        <v>333</v>
      </c>
      <c r="T10" s="1" t="s">
        <v>341</v>
      </c>
    </row>
    <row r="11" spans="1:20" ht="18.75" customHeight="1" x14ac:dyDescent="0.3">
      <c r="A11" s="13"/>
      <c r="B11" s="14"/>
      <c r="C11" s="15"/>
      <c r="D11" s="18"/>
      <c r="E11" s="47" t="s">
        <v>37</v>
      </c>
      <c r="F11" s="26">
        <f>3%*D10</f>
        <v>12.5418</v>
      </c>
      <c r="G11" s="26">
        <f>0.3%*D10</f>
        <v>1.2541800000000001</v>
      </c>
      <c r="H11" s="26">
        <f>SUM(F11:G11)</f>
        <v>13.79598</v>
      </c>
      <c r="I11" s="19">
        <v>0</v>
      </c>
      <c r="J11" s="19"/>
      <c r="K11" s="19"/>
      <c r="L11" s="19">
        <v>3</v>
      </c>
      <c r="M11" s="20">
        <f t="shared" ref="M11:M23" si="1">SUM(I11:L11)</f>
        <v>3</v>
      </c>
      <c r="N11" s="37" t="s">
        <v>51</v>
      </c>
      <c r="O11" s="38" t="s">
        <v>50</v>
      </c>
      <c r="P11" s="227">
        <f t="shared" si="0"/>
        <v>0</v>
      </c>
      <c r="Q11" s="16"/>
    </row>
    <row r="12" spans="1:20" ht="18.75" customHeight="1" x14ac:dyDescent="0.3">
      <c r="A12" s="13"/>
      <c r="B12" s="14"/>
      <c r="C12" s="15"/>
      <c r="D12" s="18"/>
      <c r="E12" s="47" t="s">
        <v>38</v>
      </c>
      <c r="F12" s="26">
        <f>0.5%*D10</f>
        <v>2.0903</v>
      </c>
      <c r="G12" s="26">
        <f>3%*D10</f>
        <v>12.5418</v>
      </c>
      <c r="H12" s="26">
        <f>SUM(F12:G12)</f>
        <v>14.632100000000001</v>
      </c>
      <c r="I12" s="19">
        <v>0</v>
      </c>
      <c r="J12" s="19"/>
      <c r="K12" s="19">
        <v>3</v>
      </c>
      <c r="L12" s="19">
        <v>4</v>
      </c>
      <c r="M12" s="20">
        <f t="shared" si="1"/>
        <v>7</v>
      </c>
      <c r="N12" s="37" t="s">
        <v>51</v>
      </c>
      <c r="O12" s="36" t="s">
        <v>632</v>
      </c>
      <c r="P12" s="227">
        <f t="shared" si="0"/>
        <v>0</v>
      </c>
      <c r="Q12" s="16"/>
      <c r="S12" s="1" t="s">
        <v>343</v>
      </c>
    </row>
    <row r="13" spans="1:20" ht="28.5" customHeight="1" x14ac:dyDescent="0.3">
      <c r="A13" s="13"/>
      <c r="B13" s="14"/>
      <c r="C13" s="15"/>
      <c r="D13" s="18"/>
      <c r="E13" s="48" t="s">
        <v>39</v>
      </c>
      <c r="F13" s="96">
        <f>8%*D10</f>
        <v>33.444800000000001</v>
      </c>
      <c r="G13" s="96">
        <f>1%*D10</f>
        <v>4.1806000000000001</v>
      </c>
      <c r="H13" s="96">
        <f>SUM(F13:G13)</f>
        <v>37.625399999999999</v>
      </c>
      <c r="I13" s="97">
        <v>0</v>
      </c>
      <c r="J13" s="97">
        <v>0</v>
      </c>
      <c r="K13" s="97">
        <v>0</v>
      </c>
      <c r="L13" s="97">
        <v>3</v>
      </c>
      <c r="M13" s="121">
        <f t="shared" si="1"/>
        <v>3</v>
      </c>
      <c r="N13" s="39" t="s">
        <v>51</v>
      </c>
      <c r="O13" s="40" t="s">
        <v>48</v>
      </c>
      <c r="P13" s="227">
        <f t="shared" si="0"/>
        <v>0</v>
      </c>
      <c r="Q13" s="16"/>
      <c r="S13" s="1" t="s">
        <v>342</v>
      </c>
    </row>
    <row r="14" spans="1:20" ht="18.75" customHeight="1" x14ac:dyDescent="0.3">
      <c r="A14" s="13"/>
      <c r="B14" s="17" t="s">
        <v>58</v>
      </c>
      <c r="C14" s="15" t="s">
        <v>22</v>
      </c>
      <c r="D14" s="18">
        <v>827.82</v>
      </c>
      <c r="E14" s="47" t="s">
        <v>36</v>
      </c>
      <c r="F14" s="26">
        <f>3%*D14</f>
        <v>24.834600000000002</v>
      </c>
      <c r="G14" s="26">
        <f>1%*D14</f>
        <v>8.2782</v>
      </c>
      <c r="H14" s="26">
        <f>SUM(F14:G14)</f>
        <v>33.1128</v>
      </c>
      <c r="I14" s="19">
        <v>0</v>
      </c>
      <c r="J14" s="19"/>
      <c r="K14" s="19">
        <v>5</v>
      </c>
      <c r="L14" s="19">
        <v>5</v>
      </c>
      <c r="M14" s="20">
        <f t="shared" si="1"/>
        <v>10</v>
      </c>
      <c r="N14" s="35" t="s">
        <v>51</v>
      </c>
      <c r="O14" s="41" t="s">
        <v>137</v>
      </c>
      <c r="P14" s="227">
        <f t="shared" si="0"/>
        <v>0</v>
      </c>
      <c r="Q14" s="16"/>
    </row>
    <row r="15" spans="1:20" ht="18.75" customHeight="1" x14ac:dyDescent="0.3">
      <c r="A15" s="13"/>
      <c r="B15" s="14"/>
      <c r="C15" s="15"/>
      <c r="D15" s="26"/>
      <c r="E15" s="47" t="s">
        <v>37</v>
      </c>
      <c r="F15" s="26">
        <f>3%*D14</f>
        <v>24.834600000000002</v>
      </c>
      <c r="G15" s="26">
        <f>1%*D14</f>
        <v>8.2782</v>
      </c>
      <c r="H15" s="26">
        <f t="shared" ref="H15:H17" si="2">SUM(F15:G15)</f>
        <v>33.1128</v>
      </c>
      <c r="I15" s="19">
        <v>0</v>
      </c>
      <c r="J15" s="19"/>
      <c r="K15" s="19">
        <v>5</v>
      </c>
      <c r="L15" s="19">
        <v>5</v>
      </c>
      <c r="M15" s="20">
        <f t="shared" si="1"/>
        <v>10</v>
      </c>
      <c r="N15" s="35"/>
      <c r="O15" s="36"/>
      <c r="P15" s="227">
        <f t="shared" si="0"/>
        <v>0</v>
      </c>
      <c r="Q15" s="16"/>
      <c r="S15" s="1" t="s">
        <v>344</v>
      </c>
    </row>
    <row r="16" spans="1:20" ht="18.75" customHeight="1" x14ac:dyDescent="0.3">
      <c r="A16" s="13"/>
      <c r="B16" s="14"/>
      <c r="C16" s="15"/>
      <c r="D16" s="26"/>
      <c r="E16" s="47" t="s">
        <v>38</v>
      </c>
      <c r="F16" s="26">
        <f>2.5%*D14</f>
        <v>20.695500000000003</v>
      </c>
      <c r="G16" s="26">
        <f>2%*D14</f>
        <v>16.5564</v>
      </c>
      <c r="H16" s="26">
        <f t="shared" si="2"/>
        <v>37.251900000000006</v>
      </c>
      <c r="I16" s="19">
        <v>0</v>
      </c>
      <c r="J16" s="19"/>
      <c r="K16" s="19">
        <v>5</v>
      </c>
      <c r="L16" s="19">
        <v>3</v>
      </c>
      <c r="M16" s="20">
        <f t="shared" si="1"/>
        <v>8</v>
      </c>
      <c r="N16" s="35"/>
      <c r="O16" s="36"/>
      <c r="P16" s="227">
        <f t="shared" si="0"/>
        <v>0</v>
      </c>
      <c r="Q16" s="16"/>
      <c r="S16" s="1" t="s">
        <v>345</v>
      </c>
    </row>
    <row r="17" spans="1:19" ht="29.25" customHeight="1" x14ac:dyDescent="0.3">
      <c r="A17" s="54"/>
      <c r="B17" s="55"/>
      <c r="C17" s="56"/>
      <c r="D17" s="57"/>
      <c r="E17" s="58" t="s">
        <v>39</v>
      </c>
      <c r="F17" s="119">
        <f>4%*D14</f>
        <v>33.1128</v>
      </c>
      <c r="G17" s="119">
        <f>2%*D14</f>
        <v>16.5564</v>
      </c>
      <c r="H17" s="119">
        <f t="shared" si="2"/>
        <v>49.669200000000004</v>
      </c>
      <c r="I17" s="59">
        <v>0</v>
      </c>
      <c r="J17" s="59">
        <v>0</v>
      </c>
      <c r="K17" s="59">
        <v>0</v>
      </c>
      <c r="L17" s="59">
        <v>4</v>
      </c>
      <c r="M17" s="60">
        <f t="shared" si="1"/>
        <v>4</v>
      </c>
      <c r="N17" s="42"/>
      <c r="O17" s="38"/>
      <c r="P17" s="228">
        <f t="shared" si="0"/>
        <v>0</v>
      </c>
      <c r="Q17" s="29"/>
    </row>
    <row r="18" spans="1:19" ht="18.75" customHeight="1" x14ac:dyDescent="0.3">
      <c r="A18" s="54"/>
      <c r="B18" s="55" t="s">
        <v>59</v>
      </c>
      <c r="C18" s="56" t="s">
        <v>27</v>
      </c>
      <c r="D18" s="18">
        <v>113.45</v>
      </c>
      <c r="E18" s="47" t="s">
        <v>36</v>
      </c>
      <c r="F18" s="26">
        <f>25%*D18</f>
        <v>28.362500000000001</v>
      </c>
      <c r="G18" s="26">
        <f>1%*F18</f>
        <v>0.28362500000000002</v>
      </c>
      <c r="H18" s="26">
        <f>SUM(F18:G18)</f>
        <v>28.646125000000001</v>
      </c>
      <c r="I18" s="19">
        <v>0</v>
      </c>
      <c r="J18" s="19"/>
      <c r="K18" s="19">
        <v>2</v>
      </c>
      <c r="L18" s="19"/>
      <c r="M18" s="20">
        <f t="shared" si="1"/>
        <v>2</v>
      </c>
      <c r="N18" s="42"/>
      <c r="O18" s="38"/>
      <c r="P18" s="227">
        <f t="shared" si="0"/>
        <v>0</v>
      </c>
      <c r="Q18" s="29"/>
    </row>
    <row r="19" spans="1:19" ht="19.5" customHeight="1" x14ac:dyDescent="0.3">
      <c r="A19" s="54"/>
      <c r="B19" s="55"/>
      <c r="C19" s="56"/>
      <c r="D19" s="26"/>
      <c r="E19" s="47" t="s">
        <v>37</v>
      </c>
      <c r="F19" s="26">
        <f>2%*D18</f>
        <v>2.2690000000000001</v>
      </c>
      <c r="G19" s="26">
        <f>2%*D18</f>
        <v>2.2690000000000001</v>
      </c>
      <c r="H19" s="26">
        <f t="shared" ref="H19:H20" si="3">SUM(F19:G19)</f>
        <v>4.5380000000000003</v>
      </c>
      <c r="I19" s="19">
        <v>0</v>
      </c>
      <c r="J19" s="19"/>
      <c r="K19" s="19">
        <v>2</v>
      </c>
      <c r="L19" s="19">
        <v>1</v>
      </c>
      <c r="M19" s="20">
        <f t="shared" si="1"/>
        <v>3</v>
      </c>
      <c r="N19" s="42"/>
      <c r="O19" s="38"/>
      <c r="P19" s="227">
        <f t="shared" si="0"/>
        <v>0</v>
      </c>
      <c r="Q19" s="29"/>
    </row>
    <row r="20" spans="1:19" ht="18.75" customHeight="1" x14ac:dyDescent="0.3">
      <c r="A20" s="54"/>
      <c r="B20" s="55"/>
      <c r="C20" s="56"/>
      <c r="D20" s="26"/>
      <c r="E20" s="47" t="s">
        <v>38</v>
      </c>
      <c r="F20" s="26">
        <f>1%*D18</f>
        <v>1.1345000000000001</v>
      </c>
      <c r="G20" s="26">
        <f>5%*D18</f>
        <v>5.6725000000000003</v>
      </c>
      <c r="H20" s="26">
        <f t="shared" si="3"/>
        <v>6.8070000000000004</v>
      </c>
      <c r="I20" s="19">
        <v>0</v>
      </c>
      <c r="J20" s="19"/>
      <c r="K20" s="19">
        <v>4</v>
      </c>
      <c r="L20" s="19">
        <v>1</v>
      </c>
      <c r="M20" s="20">
        <f t="shared" si="1"/>
        <v>5</v>
      </c>
      <c r="N20" s="42"/>
      <c r="O20" s="38"/>
      <c r="P20" s="227">
        <f t="shared" si="0"/>
        <v>0</v>
      </c>
      <c r="Q20" s="29"/>
    </row>
    <row r="21" spans="1:19" ht="18.75" customHeight="1" x14ac:dyDescent="0.3">
      <c r="A21" s="13"/>
      <c r="B21" s="17" t="s">
        <v>60</v>
      </c>
      <c r="C21" s="15" t="s">
        <v>42</v>
      </c>
      <c r="D21" s="18">
        <v>526.28</v>
      </c>
      <c r="E21" s="47" t="s">
        <v>36</v>
      </c>
      <c r="F21" s="26">
        <f>35%*D18</f>
        <v>39.707499999999996</v>
      </c>
      <c r="G21" s="26">
        <f>2%*D21</f>
        <v>10.525599999999999</v>
      </c>
      <c r="H21" s="26">
        <f>SUM(F21:G21)</f>
        <v>50.233099999999993</v>
      </c>
      <c r="I21" s="19">
        <v>0</v>
      </c>
      <c r="J21" s="19"/>
      <c r="K21" s="19"/>
      <c r="L21" s="19">
        <v>4</v>
      </c>
      <c r="M21" s="20">
        <f t="shared" si="1"/>
        <v>4</v>
      </c>
      <c r="N21" s="35"/>
      <c r="O21" s="36"/>
      <c r="P21" s="227">
        <f t="shared" si="0"/>
        <v>0</v>
      </c>
      <c r="Q21" s="29"/>
    </row>
    <row r="22" spans="1:19" ht="18.75" customHeight="1" x14ac:dyDescent="0.3">
      <c r="A22" s="13"/>
      <c r="B22" s="14"/>
      <c r="C22" s="15"/>
      <c r="D22" s="26"/>
      <c r="E22" s="47" t="s">
        <v>37</v>
      </c>
      <c r="F22" s="26">
        <f>36%*D21</f>
        <v>189.46079999999998</v>
      </c>
      <c r="G22" s="26">
        <f>2%*D21</f>
        <v>10.525599999999999</v>
      </c>
      <c r="H22" s="26">
        <f t="shared" ref="H22:H23" si="4">SUM(F22:G22)</f>
        <v>199.98639999999997</v>
      </c>
      <c r="I22" s="19">
        <v>0</v>
      </c>
      <c r="J22" s="19"/>
      <c r="K22" s="19"/>
      <c r="L22" s="19">
        <v>4</v>
      </c>
      <c r="M22" s="20">
        <f t="shared" si="1"/>
        <v>4</v>
      </c>
      <c r="N22" s="35"/>
      <c r="O22" s="36"/>
      <c r="P22" s="227">
        <f t="shared" si="0"/>
        <v>0</v>
      </c>
      <c r="Q22" s="29"/>
    </row>
    <row r="23" spans="1:19" ht="18.75" customHeight="1" x14ac:dyDescent="0.3">
      <c r="A23" s="13"/>
      <c r="B23" s="14"/>
      <c r="C23" s="15"/>
      <c r="D23" s="26"/>
      <c r="E23" s="47" t="s">
        <v>38</v>
      </c>
      <c r="F23" s="26">
        <f>0.5%*D21</f>
        <v>2.6313999999999997</v>
      </c>
      <c r="G23" s="26">
        <f>10%*D21</f>
        <v>52.628</v>
      </c>
      <c r="H23" s="26">
        <f t="shared" si="4"/>
        <v>55.259399999999999</v>
      </c>
      <c r="I23" s="19">
        <v>0</v>
      </c>
      <c r="J23" s="19"/>
      <c r="K23" s="19"/>
      <c r="L23" s="19">
        <v>3</v>
      </c>
      <c r="M23" s="20">
        <f t="shared" si="1"/>
        <v>3</v>
      </c>
      <c r="N23" s="80"/>
      <c r="O23" s="81"/>
      <c r="P23" s="227">
        <f t="shared" si="0"/>
        <v>0</v>
      </c>
      <c r="Q23" s="88"/>
    </row>
    <row r="24" spans="1:19" ht="18.75" customHeight="1" x14ac:dyDescent="0.3">
      <c r="A24" s="89"/>
      <c r="B24" s="402" t="s">
        <v>325</v>
      </c>
      <c r="C24" s="403"/>
      <c r="D24" s="73">
        <f>SUM(D9:D17)</f>
        <v>1245.8800000000001</v>
      </c>
      <c r="E24" s="74"/>
      <c r="F24" s="118">
        <f>SUM(F9:F17)</f>
        <v>155.73500000000001</v>
      </c>
      <c r="G24" s="118">
        <f>SUM(G9:G17)</f>
        <v>69.736079999999987</v>
      </c>
      <c r="H24" s="118">
        <f>SUM(H9:H17)</f>
        <v>225.47108000000003</v>
      </c>
      <c r="I24" s="75">
        <f>SUM(I9:I17)</f>
        <v>0</v>
      </c>
      <c r="J24" s="75">
        <f>SUM(J9:J17)</f>
        <v>0</v>
      </c>
      <c r="K24" s="75">
        <f>SUM(K8:K23)</f>
        <v>29</v>
      </c>
      <c r="L24" s="160">
        <f>SUM(L10:L23)</f>
        <v>44</v>
      </c>
      <c r="M24" s="75">
        <f>SUM(M9:M17)</f>
        <v>52</v>
      </c>
      <c r="N24" s="76"/>
      <c r="O24" s="77"/>
      <c r="P24" s="229">
        <f>SUM(P10:P23)</f>
        <v>0</v>
      </c>
      <c r="Q24" s="75"/>
    </row>
    <row r="25" spans="1:19" ht="18.75" customHeight="1" x14ac:dyDescent="0.3">
      <c r="A25" s="63">
        <v>2</v>
      </c>
      <c r="B25" s="64" t="s">
        <v>23</v>
      </c>
      <c r="C25" s="65"/>
      <c r="D25" s="66"/>
      <c r="E25" s="67"/>
      <c r="F25" s="68"/>
      <c r="G25" s="68"/>
      <c r="H25" s="68"/>
      <c r="I25" s="68"/>
      <c r="J25" s="68"/>
      <c r="K25" s="68"/>
      <c r="L25" s="68"/>
      <c r="M25" s="68"/>
      <c r="N25" s="69"/>
      <c r="O25" s="70"/>
      <c r="P25" s="230"/>
      <c r="Q25" s="68"/>
    </row>
    <row r="26" spans="1:19" ht="18.75" customHeight="1" x14ac:dyDescent="0.3">
      <c r="A26" s="13"/>
      <c r="B26" s="14" t="s">
        <v>57</v>
      </c>
      <c r="C26" s="15" t="s">
        <v>22</v>
      </c>
      <c r="D26" s="26">
        <v>202.18</v>
      </c>
      <c r="E26" s="47" t="s">
        <v>629</v>
      </c>
      <c r="F26" s="19">
        <f>26%*D26</f>
        <v>52.566800000000001</v>
      </c>
      <c r="G26" s="19">
        <f>1%*D26</f>
        <v>2.0218000000000003</v>
      </c>
      <c r="H26" s="19">
        <f t="shared" ref="H26" si="5">SUM(F26:G26)</f>
        <v>54.5886</v>
      </c>
      <c r="I26" s="19">
        <v>0</v>
      </c>
      <c r="J26" s="19">
        <v>0</v>
      </c>
      <c r="K26" s="19">
        <v>0</v>
      </c>
      <c r="L26" s="19">
        <v>2</v>
      </c>
      <c r="M26" s="20">
        <f t="shared" ref="M26:M29" si="6">SUM(I26:L26)</f>
        <v>2</v>
      </c>
      <c r="N26" s="37" t="s">
        <v>51</v>
      </c>
      <c r="O26" s="404" t="s">
        <v>633</v>
      </c>
      <c r="P26" s="231">
        <f>G26*0.52*20%*0</f>
        <v>0</v>
      </c>
      <c r="Q26" s="16"/>
    </row>
    <row r="27" spans="1:19" ht="18.75" customHeight="1" x14ac:dyDescent="0.3">
      <c r="A27" s="54"/>
      <c r="B27" s="55" t="s">
        <v>58</v>
      </c>
      <c r="C27" s="56" t="s">
        <v>42</v>
      </c>
      <c r="D27" s="57">
        <v>55</v>
      </c>
      <c r="E27" s="47" t="s">
        <v>629</v>
      </c>
      <c r="F27" s="19">
        <f>12%*D27</f>
        <v>6.6</v>
      </c>
      <c r="G27" s="19">
        <f>1%*D27</f>
        <v>0.55000000000000004</v>
      </c>
      <c r="H27" s="19">
        <f t="shared" ref="H27" si="7">SUM(F27:G27)</f>
        <v>7.1499999999999995</v>
      </c>
      <c r="I27" s="19">
        <v>0</v>
      </c>
      <c r="J27" s="19"/>
      <c r="K27" s="19">
        <v>0</v>
      </c>
      <c r="L27" s="19">
        <v>0</v>
      </c>
      <c r="M27" s="20">
        <f t="shared" si="6"/>
        <v>0</v>
      </c>
      <c r="N27" s="37"/>
      <c r="O27" s="404"/>
      <c r="P27" s="231">
        <f>G27*0.52*20%*0</f>
        <v>0</v>
      </c>
      <c r="Q27" s="16"/>
      <c r="R27" s="1" t="s">
        <v>333</v>
      </c>
      <c r="S27" s="1" t="s">
        <v>334</v>
      </c>
    </row>
    <row r="28" spans="1:19" ht="18.75" customHeight="1" x14ac:dyDescent="0.3">
      <c r="A28" s="54"/>
      <c r="B28" s="55"/>
      <c r="C28" s="56"/>
      <c r="D28" s="57"/>
      <c r="E28" s="85" t="s">
        <v>630</v>
      </c>
      <c r="F28" s="224">
        <f>0.9%*D27</f>
        <v>0.49500000000000005</v>
      </c>
      <c r="G28" s="224">
        <f>1.2%*D27</f>
        <v>0.66</v>
      </c>
      <c r="H28" s="79">
        <f>F28+G28</f>
        <v>1.155</v>
      </c>
      <c r="I28" s="19">
        <v>0</v>
      </c>
      <c r="J28" s="19"/>
      <c r="K28" s="19"/>
      <c r="L28" s="19">
        <v>1</v>
      </c>
      <c r="M28" s="20">
        <f t="shared" si="6"/>
        <v>1</v>
      </c>
      <c r="N28" s="37"/>
      <c r="O28" s="404"/>
      <c r="P28" s="231">
        <f>G28*0.52*15%*0</f>
        <v>0</v>
      </c>
      <c r="Q28" s="16"/>
    </row>
    <row r="29" spans="1:19" ht="18.75" customHeight="1" x14ac:dyDescent="0.3">
      <c r="A29" s="54"/>
      <c r="B29" s="55" t="s">
        <v>59</v>
      </c>
      <c r="C29" s="56" t="s">
        <v>21</v>
      </c>
      <c r="D29" s="57">
        <v>66.94</v>
      </c>
      <c r="E29" s="47" t="s">
        <v>629</v>
      </c>
      <c r="F29" s="19">
        <v>8</v>
      </c>
      <c r="G29" s="19">
        <f>1%*D29</f>
        <v>0.6694</v>
      </c>
      <c r="H29" s="19">
        <f>F29+G29</f>
        <v>8.6693999999999996</v>
      </c>
      <c r="I29" s="19">
        <v>0</v>
      </c>
      <c r="J29" s="19">
        <v>0</v>
      </c>
      <c r="K29" s="19">
        <v>0</v>
      </c>
      <c r="L29" s="19">
        <v>2</v>
      </c>
      <c r="M29" s="20">
        <f t="shared" si="6"/>
        <v>2</v>
      </c>
      <c r="N29" s="95"/>
      <c r="O29" s="399"/>
      <c r="P29" s="231">
        <f>G29*0.52*20%*0</f>
        <v>0</v>
      </c>
      <c r="Q29" s="87"/>
    </row>
    <row r="30" spans="1:19" ht="18.75" customHeight="1" x14ac:dyDescent="0.3">
      <c r="A30" s="89"/>
      <c r="B30" s="402" t="s">
        <v>326</v>
      </c>
      <c r="C30" s="403"/>
      <c r="D30" s="73">
        <f>SUM(D25:D29)</f>
        <v>324.12</v>
      </c>
      <c r="E30" s="74"/>
      <c r="F30" s="83">
        <f t="shared" ref="F30:K30" si="8">SUM(F25:F29)</f>
        <v>67.661799999999999</v>
      </c>
      <c r="G30" s="83">
        <f t="shared" si="8"/>
        <v>3.9012000000000007</v>
      </c>
      <c r="H30" s="83">
        <f t="shared" si="8"/>
        <v>71.563000000000002</v>
      </c>
      <c r="I30" s="83">
        <f t="shared" si="8"/>
        <v>0</v>
      </c>
      <c r="J30" s="83">
        <f t="shared" si="8"/>
        <v>0</v>
      </c>
      <c r="K30" s="83">
        <f t="shared" si="8"/>
        <v>0</v>
      </c>
      <c r="L30" s="83">
        <f>SUM(L26:L29)</f>
        <v>5</v>
      </c>
      <c r="M30" s="83">
        <f>SUM(M25:M29)</f>
        <v>5</v>
      </c>
      <c r="N30" s="76"/>
      <c r="O30" s="77"/>
      <c r="P30" s="232"/>
      <c r="Q30" s="75"/>
    </row>
    <row r="31" spans="1:19" ht="18.75" customHeight="1" x14ac:dyDescent="0.3">
      <c r="A31" s="63">
        <v>3</v>
      </c>
      <c r="B31" s="64" t="s">
        <v>19</v>
      </c>
      <c r="C31" s="65"/>
      <c r="D31" s="66"/>
      <c r="E31" s="67"/>
      <c r="F31" s="82"/>
      <c r="G31" s="82"/>
      <c r="H31" s="82"/>
      <c r="I31" s="82"/>
      <c r="J31" s="82"/>
      <c r="K31" s="82"/>
      <c r="L31" s="82"/>
      <c r="M31" s="82"/>
      <c r="N31" s="69"/>
      <c r="O31" s="70"/>
      <c r="P31" s="233"/>
      <c r="Q31" s="68"/>
    </row>
    <row r="32" spans="1:19" ht="15.75" customHeight="1" x14ac:dyDescent="0.3">
      <c r="A32" s="13"/>
      <c r="B32" s="14" t="s">
        <v>57</v>
      </c>
      <c r="C32" s="15" t="s">
        <v>24</v>
      </c>
      <c r="D32" s="26">
        <f>1372.4+494</f>
        <v>1866.4</v>
      </c>
      <c r="E32" s="50" t="s">
        <v>52</v>
      </c>
      <c r="F32" s="19">
        <f>4%*D32</f>
        <v>74.656000000000006</v>
      </c>
      <c r="G32" s="26">
        <f>40%*D32</f>
        <v>746.56000000000006</v>
      </c>
      <c r="H32" s="26">
        <f>SUM(F32:G32)</f>
        <v>821.21600000000012</v>
      </c>
      <c r="I32" s="19">
        <v>0</v>
      </c>
      <c r="J32" s="19"/>
      <c r="K32" s="19"/>
      <c r="L32" s="19">
        <v>2</v>
      </c>
      <c r="M32" s="19">
        <f>SUM(I32:L32)</f>
        <v>2</v>
      </c>
      <c r="N32" s="35">
        <v>1</v>
      </c>
      <c r="O32" s="414" t="s">
        <v>642</v>
      </c>
      <c r="P32" s="234">
        <f t="shared" ref="P32:P61" si="9">G32*0.815*26%*3500000</f>
        <v>553686224</v>
      </c>
      <c r="Q32" s="16"/>
    </row>
    <row r="33" spans="1:17" ht="15" customHeight="1" x14ac:dyDescent="0.3">
      <c r="A33" s="13"/>
      <c r="B33" s="14"/>
      <c r="C33" s="15"/>
      <c r="D33" s="26"/>
      <c r="E33" s="47" t="s">
        <v>624</v>
      </c>
      <c r="F33" s="19">
        <f>5%*D32</f>
        <v>93.320000000000007</v>
      </c>
      <c r="G33" s="26">
        <f>10%*D32</f>
        <v>186.64000000000001</v>
      </c>
      <c r="H33" s="26">
        <f>F33+G33</f>
        <v>279.96000000000004</v>
      </c>
      <c r="I33" s="19">
        <v>0</v>
      </c>
      <c r="J33" s="19"/>
      <c r="K33" s="19">
        <v>0</v>
      </c>
      <c r="L33" s="19">
        <v>4</v>
      </c>
      <c r="M33" s="19">
        <f>SUM(I33:L33)</f>
        <v>4</v>
      </c>
      <c r="N33" s="35"/>
      <c r="O33" s="401"/>
      <c r="P33" s="234">
        <f t="shared" si="9"/>
        <v>138421556</v>
      </c>
      <c r="Q33" s="16"/>
    </row>
    <row r="34" spans="1:17" ht="18.75" customHeight="1" x14ac:dyDescent="0.3">
      <c r="A34" s="13"/>
      <c r="B34" s="14" t="s">
        <v>58</v>
      </c>
      <c r="C34" s="15" t="s">
        <v>25</v>
      </c>
      <c r="D34" s="26">
        <f>994.7+363.2</f>
        <v>1357.9</v>
      </c>
      <c r="E34" s="50" t="s">
        <v>52</v>
      </c>
      <c r="F34" s="19">
        <f>1%*D34</f>
        <v>13.579000000000001</v>
      </c>
      <c r="G34" s="26">
        <f>8%*D34</f>
        <v>108.63200000000001</v>
      </c>
      <c r="H34" s="26">
        <f t="shared" ref="H34:H61" si="10">SUM(F34:G34)</f>
        <v>122.21100000000001</v>
      </c>
      <c r="I34" s="19">
        <v>0</v>
      </c>
      <c r="J34" s="19"/>
      <c r="K34" s="19">
        <v>0</v>
      </c>
      <c r="L34" s="19">
        <v>0</v>
      </c>
      <c r="M34" s="19">
        <f t="shared" ref="M34:M61" si="11">SUM(I34:L34)</f>
        <v>0</v>
      </c>
      <c r="N34" s="35"/>
      <c r="O34" s="401"/>
      <c r="P34" s="234">
        <f t="shared" si="9"/>
        <v>80566922.799999997</v>
      </c>
      <c r="Q34" s="16"/>
    </row>
    <row r="35" spans="1:17" ht="17.25" customHeight="1" x14ac:dyDescent="0.3">
      <c r="A35" s="13"/>
      <c r="B35" s="14" t="s">
        <v>59</v>
      </c>
      <c r="C35" s="15" t="s">
        <v>26</v>
      </c>
      <c r="D35" s="26">
        <f>976.5+338</f>
        <v>1314.5</v>
      </c>
      <c r="E35" s="50" t="s">
        <v>52</v>
      </c>
      <c r="F35" s="19">
        <f>2%*D35</f>
        <v>26.29</v>
      </c>
      <c r="G35" s="26">
        <f>15%*D35</f>
        <v>197.17499999999998</v>
      </c>
      <c r="H35" s="26">
        <f t="shared" si="10"/>
        <v>223.46499999999997</v>
      </c>
      <c r="I35" s="19"/>
      <c r="J35" s="19"/>
      <c r="K35" s="19">
        <v>5</v>
      </c>
      <c r="L35" s="19">
        <v>5</v>
      </c>
      <c r="M35" s="19">
        <f t="shared" si="11"/>
        <v>10</v>
      </c>
      <c r="N35" s="35"/>
      <c r="O35" s="401"/>
      <c r="P35" s="234">
        <f t="shared" si="9"/>
        <v>146234838.75</v>
      </c>
      <c r="Q35" s="16"/>
    </row>
    <row r="36" spans="1:17" ht="17.25" customHeight="1" x14ac:dyDescent="0.3">
      <c r="A36" s="13"/>
      <c r="B36" s="14"/>
      <c r="C36" s="15"/>
      <c r="D36" s="26"/>
      <c r="E36" s="47" t="s">
        <v>624</v>
      </c>
      <c r="F36" s="19">
        <f>5%*D35</f>
        <v>65.725000000000009</v>
      </c>
      <c r="G36" s="26">
        <f>10%*D35</f>
        <v>131.45000000000002</v>
      </c>
      <c r="H36" s="26">
        <f>F36+G36</f>
        <v>197.17500000000001</v>
      </c>
      <c r="I36" s="19">
        <v>0</v>
      </c>
      <c r="J36" s="19"/>
      <c r="K36" s="19">
        <v>5</v>
      </c>
      <c r="L36" s="19">
        <v>4</v>
      </c>
      <c r="M36" s="19">
        <f>SUM(I36:L36)</f>
        <v>9</v>
      </c>
      <c r="N36" s="35"/>
      <c r="O36" s="401"/>
      <c r="P36" s="234">
        <f t="shared" si="9"/>
        <v>97489892.500000015</v>
      </c>
      <c r="Q36" s="16"/>
    </row>
    <row r="37" spans="1:17" ht="15" customHeight="1" x14ac:dyDescent="0.3">
      <c r="A37" s="13"/>
      <c r="B37" s="14" t="s">
        <v>60</v>
      </c>
      <c r="C37" s="15" t="s">
        <v>55</v>
      </c>
      <c r="D37" s="26">
        <f>291.6+46.93</f>
        <v>338.53000000000003</v>
      </c>
      <c r="E37" s="50" t="s">
        <v>52</v>
      </c>
      <c r="F37" s="19">
        <f t="shared" ref="F37" si="12">5%*D37</f>
        <v>16.926500000000001</v>
      </c>
      <c r="G37" s="26">
        <f>15%*D37</f>
        <v>50.779500000000006</v>
      </c>
      <c r="H37" s="26">
        <f t="shared" si="10"/>
        <v>67.706000000000003</v>
      </c>
      <c r="I37" s="19">
        <v>0</v>
      </c>
      <c r="J37" s="19">
        <v>0</v>
      </c>
      <c r="K37" s="19">
        <v>0</v>
      </c>
      <c r="L37" s="19">
        <v>0</v>
      </c>
      <c r="M37" s="19">
        <f t="shared" si="11"/>
        <v>0</v>
      </c>
      <c r="N37" s="35"/>
      <c r="O37" s="401"/>
      <c r="P37" s="234">
        <f t="shared" si="9"/>
        <v>37660616.175000004</v>
      </c>
      <c r="Q37" s="16"/>
    </row>
    <row r="38" spans="1:17" ht="18.75" customHeight="1" x14ac:dyDescent="0.3">
      <c r="A38" s="13"/>
      <c r="B38" s="14"/>
      <c r="C38" s="15"/>
      <c r="D38" s="26"/>
      <c r="E38" s="47" t="s">
        <v>235</v>
      </c>
      <c r="F38" s="26">
        <f>4%*D37</f>
        <v>13.541200000000002</v>
      </c>
      <c r="G38" s="26">
        <f>10%*D37</f>
        <v>33.853000000000002</v>
      </c>
      <c r="H38" s="26">
        <f>SUM(F38:G38)</f>
        <v>47.394200000000005</v>
      </c>
      <c r="I38" s="19"/>
      <c r="J38" s="19"/>
      <c r="K38" s="19"/>
      <c r="L38" s="19">
        <v>5</v>
      </c>
      <c r="M38" s="19">
        <f>SUM(I38:L38)</f>
        <v>5</v>
      </c>
      <c r="N38" s="35"/>
      <c r="O38" s="400"/>
      <c r="P38" s="234">
        <f t="shared" si="9"/>
        <v>25107077.449999999</v>
      </c>
      <c r="Q38" s="16"/>
    </row>
    <row r="39" spans="1:17" ht="14.25" customHeight="1" x14ac:dyDescent="0.3">
      <c r="A39" s="13"/>
      <c r="B39" s="14" t="s">
        <v>61</v>
      </c>
      <c r="C39" s="15" t="s">
        <v>27</v>
      </c>
      <c r="D39" s="26">
        <f>831.5+161.25</f>
        <v>992.75</v>
      </c>
      <c r="E39" s="50" t="s">
        <v>52</v>
      </c>
      <c r="F39" s="19">
        <f>1%*D39</f>
        <v>9.9275000000000002</v>
      </c>
      <c r="G39" s="26">
        <f>30%*D39</f>
        <v>297.82499999999999</v>
      </c>
      <c r="H39" s="26">
        <f t="shared" si="10"/>
        <v>307.7525</v>
      </c>
      <c r="I39" s="19">
        <v>0</v>
      </c>
      <c r="J39" s="19">
        <v>0</v>
      </c>
      <c r="K39" s="19">
        <v>0</v>
      </c>
      <c r="L39" s="19">
        <v>7</v>
      </c>
      <c r="M39" s="19">
        <f t="shared" si="11"/>
        <v>7</v>
      </c>
      <c r="N39" s="35"/>
      <c r="O39" s="36"/>
      <c r="P39" s="234">
        <f t="shared" si="9"/>
        <v>220881911.25</v>
      </c>
      <c r="Q39" s="16"/>
    </row>
    <row r="40" spans="1:17" ht="15" customHeight="1" x14ac:dyDescent="0.3">
      <c r="A40" s="13"/>
      <c r="B40" s="14" t="s">
        <v>62</v>
      </c>
      <c r="C40" s="15" t="s">
        <v>28</v>
      </c>
      <c r="D40" s="26">
        <f>868+618.6</f>
        <v>1486.6</v>
      </c>
      <c r="E40" s="50" t="s">
        <v>52</v>
      </c>
      <c r="F40" s="19">
        <f>1%*D40</f>
        <v>14.866</v>
      </c>
      <c r="G40" s="26">
        <f>12%*D40</f>
        <v>178.392</v>
      </c>
      <c r="H40" s="26">
        <f t="shared" si="10"/>
        <v>193.25799999999998</v>
      </c>
      <c r="I40" s="19">
        <v>0</v>
      </c>
      <c r="J40" s="19">
        <v>0</v>
      </c>
      <c r="K40" s="19">
        <v>5</v>
      </c>
      <c r="L40" s="19">
        <v>5</v>
      </c>
      <c r="M40" s="19">
        <f t="shared" si="11"/>
        <v>10</v>
      </c>
      <c r="N40" s="35">
        <v>2</v>
      </c>
      <c r="O40" s="399" t="s">
        <v>643</v>
      </c>
      <c r="P40" s="234">
        <f t="shared" si="9"/>
        <v>132304426.8</v>
      </c>
      <c r="Q40" s="16"/>
    </row>
    <row r="41" spans="1:17" ht="15" customHeight="1" x14ac:dyDescent="0.3">
      <c r="A41" s="13"/>
      <c r="B41" s="14" t="s">
        <v>63</v>
      </c>
      <c r="C41" s="15" t="s">
        <v>29</v>
      </c>
      <c r="D41" s="26">
        <f>1546+278.5</f>
        <v>1824.5</v>
      </c>
      <c r="E41" s="50" t="s">
        <v>52</v>
      </c>
      <c r="F41" s="19">
        <f>1%*D41</f>
        <v>18.245000000000001</v>
      </c>
      <c r="G41" s="26">
        <f>21%*D41</f>
        <v>383.14499999999998</v>
      </c>
      <c r="H41" s="26">
        <f t="shared" si="10"/>
        <v>401.39</v>
      </c>
      <c r="I41" s="19">
        <v>0</v>
      </c>
      <c r="J41" s="19">
        <v>0</v>
      </c>
      <c r="K41" s="19">
        <v>10</v>
      </c>
      <c r="L41" s="19">
        <v>5</v>
      </c>
      <c r="M41" s="19">
        <f t="shared" si="11"/>
        <v>15</v>
      </c>
      <c r="N41" s="35"/>
      <c r="O41" s="401"/>
      <c r="P41" s="234">
        <f t="shared" si="9"/>
        <v>284159489.25</v>
      </c>
      <c r="Q41" s="16"/>
    </row>
    <row r="42" spans="1:17" ht="15" customHeight="1" x14ac:dyDescent="0.3">
      <c r="A42" s="13"/>
      <c r="B42" s="14"/>
      <c r="C42" s="15"/>
      <c r="D42" s="26"/>
      <c r="E42" s="47" t="s">
        <v>234</v>
      </c>
      <c r="F42" s="19">
        <f>2%*D41</f>
        <v>36.49</v>
      </c>
      <c r="G42" s="26">
        <f>10%*D40</f>
        <v>148.66</v>
      </c>
      <c r="H42" s="26">
        <f>F42+G42</f>
        <v>185.15</v>
      </c>
      <c r="I42" s="19"/>
      <c r="J42" s="19">
        <v>0</v>
      </c>
      <c r="K42" s="19">
        <v>0</v>
      </c>
      <c r="L42" s="19">
        <v>0</v>
      </c>
      <c r="M42" s="19">
        <f t="shared" ref="M42" si="13">SUM(I42:L42)</f>
        <v>0</v>
      </c>
      <c r="N42" s="35"/>
      <c r="O42" s="401"/>
      <c r="P42" s="234">
        <f t="shared" si="9"/>
        <v>110253688.99999999</v>
      </c>
      <c r="Q42" s="16"/>
    </row>
    <row r="43" spans="1:17" ht="14.25" customHeight="1" x14ac:dyDescent="0.3">
      <c r="A43" s="13"/>
      <c r="B43" s="14" t="s">
        <v>64</v>
      </c>
      <c r="C43" s="15" t="s">
        <v>56</v>
      </c>
      <c r="D43" s="26">
        <f>156.4+34.9</f>
        <v>191.3</v>
      </c>
      <c r="E43" s="50" t="s">
        <v>52</v>
      </c>
      <c r="F43" s="19">
        <f t="shared" ref="F43:F56" si="14">2%*D43</f>
        <v>3.8260000000000005</v>
      </c>
      <c r="G43" s="26">
        <f>10%*D43</f>
        <v>19.130000000000003</v>
      </c>
      <c r="H43" s="26">
        <f t="shared" si="10"/>
        <v>22.956000000000003</v>
      </c>
      <c r="I43" s="19">
        <v>0</v>
      </c>
      <c r="J43" s="19"/>
      <c r="K43" s="19"/>
      <c r="L43" s="19">
        <v>0</v>
      </c>
      <c r="M43" s="19">
        <f t="shared" si="11"/>
        <v>0</v>
      </c>
      <c r="N43" s="35"/>
      <c r="O43" s="401"/>
      <c r="P43" s="234">
        <f t="shared" si="9"/>
        <v>14187764.500000002</v>
      </c>
      <c r="Q43" s="16"/>
    </row>
    <row r="44" spans="1:17" ht="15" customHeight="1" x14ac:dyDescent="0.3">
      <c r="A44" s="13"/>
      <c r="B44" s="14" t="s">
        <v>65</v>
      </c>
      <c r="C44" s="15" t="s">
        <v>30</v>
      </c>
      <c r="D44" s="26">
        <f>1499.7+565.1</f>
        <v>2064.8000000000002</v>
      </c>
      <c r="E44" s="50" t="s">
        <v>52</v>
      </c>
      <c r="F44" s="19">
        <f t="shared" si="14"/>
        <v>41.296000000000006</v>
      </c>
      <c r="G44" s="26">
        <f>10%*D44</f>
        <v>206.48000000000002</v>
      </c>
      <c r="H44" s="26">
        <f t="shared" si="10"/>
        <v>247.77600000000001</v>
      </c>
      <c r="I44" s="19">
        <v>0</v>
      </c>
      <c r="J44" s="19">
        <v>0</v>
      </c>
      <c r="K44" s="19">
        <v>0</v>
      </c>
      <c r="L44" s="19">
        <v>0</v>
      </c>
      <c r="M44" s="19">
        <f t="shared" si="11"/>
        <v>0</v>
      </c>
      <c r="N44" s="35"/>
      <c r="O44" s="401"/>
      <c r="P44" s="234">
        <f t="shared" si="9"/>
        <v>153135892</v>
      </c>
      <c r="Q44" s="16"/>
    </row>
    <row r="45" spans="1:17" ht="14.25" customHeight="1" x14ac:dyDescent="0.3">
      <c r="A45" s="13"/>
      <c r="B45" s="14" t="s">
        <v>66</v>
      </c>
      <c r="C45" s="15" t="s">
        <v>31</v>
      </c>
      <c r="D45" s="26">
        <f>1207+389</f>
        <v>1596</v>
      </c>
      <c r="E45" s="50" t="s">
        <v>52</v>
      </c>
      <c r="F45" s="19">
        <f t="shared" si="14"/>
        <v>31.92</v>
      </c>
      <c r="G45" s="26">
        <f>10%*D45</f>
        <v>159.60000000000002</v>
      </c>
      <c r="H45" s="26">
        <f t="shared" si="10"/>
        <v>191.52000000000004</v>
      </c>
      <c r="I45" s="19">
        <v>0</v>
      </c>
      <c r="J45" s="19">
        <v>0</v>
      </c>
      <c r="K45" s="19">
        <v>0</v>
      </c>
      <c r="L45" s="19">
        <v>0</v>
      </c>
      <c r="M45" s="19">
        <f t="shared" si="11"/>
        <v>0</v>
      </c>
      <c r="N45" s="35"/>
      <c r="O45" s="401"/>
      <c r="P45" s="234">
        <f t="shared" si="9"/>
        <v>118367340.00000003</v>
      </c>
      <c r="Q45" s="16"/>
    </row>
    <row r="46" spans="1:17" ht="13.5" customHeight="1" x14ac:dyDescent="0.3">
      <c r="A46" s="13"/>
      <c r="B46" s="14" t="s">
        <v>67</v>
      </c>
      <c r="C46" s="15" t="s">
        <v>32</v>
      </c>
      <c r="D46" s="26">
        <f>998.9+79.5</f>
        <v>1078.4000000000001</v>
      </c>
      <c r="E46" s="50" t="s">
        <v>52</v>
      </c>
      <c r="F46" s="19">
        <f t="shared" si="14"/>
        <v>21.568000000000001</v>
      </c>
      <c r="G46" s="26">
        <f>10%*D46</f>
        <v>107.84000000000002</v>
      </c>
      <c r="H46" s="26">
        <f t="shared" si="10"/>
        <v>129.40800000000002</v>
      </c>
      <c r="I46" s="19">
        <v>0</v>
      </c>
      <c r="J46" s="19">
        <v>0</v>
      </c>
      <c r="K46" s="19">
        <v>0</v>
      </c>
      <c r="L46" s="19">
        <v>0</v>
      </c>
      <c r="M46" s="19">
        <f t="shared" si="11"/>
        <v>0</v>
      </c>
      <c r="N46" s="35"/>
      <c r="O46" s="401"/>
      <c r="P46" s="234">
        <f t="shared" si="9"/>
        <v>79979536.000000015</v>
      </c>
      <c r="Q46" s="16"/>
    </row>
    <row r="47" spans="1:17" ht="15.75" customHeight="1" x14ac:dyDescent="0.3">
      <c r="A47" s="13"/>
      <c r="B47" s="14" t="s">
        <v>68</v>
      </c>
      <c r="C47" s="15" t="s">
        <v>33</v>
      </c>
      <c r="D47" s="26">
        <f>1304+57.5</f>
        <v>1361.5</v>
      </c>
      <c r="E47" s="50" t="s">
        <v>52</v>
      </c>
      <c r="F47" s="19">
        <f t="shared" si="14"/>
        <v>27.23</v>
      </c>
      <c r="G47" s="26">
        <f>10%*D47</f>
        <v>136.15</v>
      </c>
      <c r="H47" s="26">
        <f t="shared" si="10"/>
        <v>163.38</v>
      </c>
      <c r="I47" s="19">
        <v>0</v>
      </c>
      <c r="J47" s="19"/>
      <c r="K47" s="19">
        <v>0</v>
      </c>
      <c r="L47" s="19">
        <v>0</v>
      </c>
      <c r="M47" s="19">
        <f t="shared" si="11"/>
        <v>0</v>
      </c>
      <c r="N47" s="35"/>
      <c r="O47" s="401"/>
      <c r="P47" s="234">
        <f t="shared" si="9"/>
        <v>100975647.5</v>
      </c>
      <c r="Q47" s="16"/>
    </row>
    <row r="48" spans="1:17" ht="14.25" customHeight="1" x14ac:dyDescent="0.3">
      <c r="A48" s="13"/>
      <c r="B48" s="14" t="s">
        <v>69</v>
      </c>
      <c r="C48" s="15" t="s">
        <v>34</v>
      </c>
      <c r="D48" s="26">
        <f>1784.1+362</f>
        <v>2146.1</v>
      </c>
      <c r="E48" s="50" t="s">
        <v>52</v>
      </c>
      <c r="F48" s="19">
        <f t="shared" si="14"/>
        <v>42.921999999999997</v>
      </c>
      <c r="G48" s="26">
        <f>20%*D48</f>
        <v>429.22</v>
      </c>
      <c r="H48" s="26">
        <f t="shared" si="10"/>
        <v>472.14200000000005</v>
      </c>
      <c r="I48" s="19">
        <v>0</v>
      </c>
      <c r="J48" s="19"/>
      <c r="K48" s="19"/>
      <c r="L48" s="19">
        <v>6</v>
      </c>
      <c r="M48" s="19">
        <f t="shared" si="11"/>
        <v>6</v>
      </c>
      <c r="N48" s="35"/>
      <c r="O48" s="401"/>
      <c r="P48" s="234">
        <f t="shared" si="9"/>
        <v>318331013</v>
      </c>
      <c r="Q48" s="16"/>
    </row>
    <row r="49" spans="1:17" ht="13.5" customHeight="1" x14ac:dyDescent="0.3">
      <c r="A49" s="13"/>
      <c r="B49" s="14" t="s">
        <v>70</v>
      </c>
      <c r="C49" s="15" t="s">
        <v>35</v>
      </c>
      <c r="D49" s="26">
        <f>1557+181.5</f>
        <v>1738.5</v>
      </c>
      <c r="E49" s="50" t="s">
        <v>52</v>
      </c>
      <c r="F49" s="19">
        <f t="shared" si="14"/>
        <v>34.770000000000003</v>
      </c>
      <c r="G49" s="26">
        <f>10%*D49</f>
        <v>173.85000000000002</v>
      </c>
      <c r="H49" s="26">
        <f t="shared" si="10"/>
        <v>208.62000000000003</v>
      </c>
      <c r="I49" s="19">
        <v>0</v>
      </c>
      <c r="J49" s="19">
        <v>0</v>
      </c>
      <c r="K49" s="19">
        <v>0</v>
      </c>
      <c r="L49" s="19">
        <v>0</v>
      </c>
      <c r="M49" s="19">
        <f t="shared" si="11"/>
        <v>0</v>
      </c>
      <c r="N49" s="35"/>
      <c r="O49" s="401"/>
      <c r="P49" s="234">
        <f t="shared" si="9"/>
        <v>128935852.50000001</v>
      </c>
      <c r="Q49" s="16"/>
    </row>
    <row r="50" spans="1:17" ht="18.75" customHeight="1" x14ac:dyDescent="0.3">
      <c r="A50" s="13"/>
      <c r="B50" s="14" t="s">
        <v>71</v>
      </c>
      <c r="C50" s="15" t="s">
        <v>21</v>
      </c>
      <c r="D50" s="26">
        <f>1940+114</f>
        <v>2054</v>
      </c>
      <c r="E50" s="50" t="s">
        <v>52</v>
      </c>
      <c r="F50" s="19">
        <f t="shared" si="14"/>
        <v>41.08</v>
      </c>
      <c r="G50" s="26">
        <f>10%*D50</f>
        <v>205.4</v>
      </c>
      <c r="H50" s="26">
        <f t="shared" si="10"/>
        <v>246.48000000000002</v>
      </c>
      <c r="I50" s="19">
        <v>0</v>
      </c>
      <c r="J50" s="19">
        <v>0</v>
      </c>
      <c r="K50" s="19">
        <v>0</v>
      </c>
      <c r="L50" s="19">
        <v>0</v>
      </c>
      <c r="M50" s="19">
        <f t="shared" si="11"/>
        <v>0</v>
      </c>
      <c r="N50" s="35"/>
      <c r="O50" s="401"/>
      <c r="P50" s="234">
        <f t="shared" si="9"/>
        <v>152334910</v>
      </c>
      <c r="Q50" s="16"/>
    </row>
    <row r="51" spans="1:17" ht="14.25" customHeight="1" x14ac:dyDescent="0.3">
      <c r="A51" s="13"/>
      <c r="B51" s="14" t="s">
        <v>72</v>
      </c>
      <c r="C51" s="15" t="s">
        <v>42</v>
      </c>
      <c r="D51" s="26">
        <f>773.1+303.8</f>
        <v>1076.9000000000001</v>
      </c>
      <c r="E51" s="50" t="s">
        <v>52</v>
      </c>
      <c r="F51" s="19">
        <f t="shared" si="14"/>
        <v>21.538000000000004</v>
      </c>
      <c r="G51" s="26">
        <f>10%*D51</f>
        <v>107.69000000000001</v>
      </c>
      <c r="H51" s="26">
        <f t="shared" si="10"/>
        <v>129.22800000000001</v>
      </c>
      <c r="I51" s="19">
        <v>0</v>
      </c>
      <c r="J51" s="19">
        <v>0</v>
      </c>
      <c r="K51" s="19">
        <v>0</v>
      </c>
      <c r="L51" s="19">
        <v>4</v>
      </c>
      <c r="M51" s="19">
        <f t="shared" si="11"/>
        <v>4</v>
      </c>
      <c r="N51" s="35"/>
      <c r="O51" s="400"/>
      <c r="P51" s="234">
        <f t="shared" si="9"/>
        <v>79868288.5</v>
      </c>
      <c r="Q51" s="16"/>
    </row>
    <row r="52" spans="1:17" ht="18" customHeight="1" x14ac:dyDescent="0.3">
      <c r="A52" s="13"/>
      <c r="B52" s="14" t="s">
        <v>73</v>
      </c>
      <c r="C52" s="15" t="s">
        <v>105</v>
      </c>
      <c r="D52" s="26">
        <f>153.8+8.7</f>
        <v>162.5</v>
      </c>
      <c r="E52" s="50" t="s">
        <v>52</v>
      </c>
      <c r="F52" s="19">
        <f t="shared" si="14"/>
        <v>3.25</v>
      </c>
      <c r="G52" s="26">
        <f>11%*D52</f>
        <v>17.875</v>
      </c>
      <c r="H52" s="26">
        <f t="shared" si="10"/>
        <v>21.125</v>
      </c>
      <c r="I52" s="19">
        <v>0</v>
      </c>
      <c r="J52" s="19">
        <v>0</v>
      </c>
      <c r="K52" s="19">
        <v>0</v>
      </c>
      <c r="L52" s="19">
        <v>4</v>
      </c>
      <c r="M52" s="19">
        <f t="shared" si="11"/>
        <v>4</v>
      </c>
      <c r="N52" s="35"/>
      <c r="O52" s="36"/>
      <c r="P52" s="234">
        <f t="shared" si="9"/>
        <v>13256993.749999998</v>
      </c>
      <c r="Q52" s="16"/>
    </row>
    <row r="53" spans="1:17" ht="16.5" customHeight="1" x14ac:dyDescent="0.3">
      <c r="A53" s="13"/>
      <c r="B53" s="14" t="s">
        <v>74</v>
      </c>
      <c r="C53" s="15" t="s">
        <v>110</v>
      </c>
      <c r="D53" s="26">
        <f>695+48.2</f>
        <v>743.2</v>
      </c>
      <c r="E53" s="50" t="s">
        <v>52</v>
      </c>
      <c r="F53" s="19">
        <f t="shared" si="14"/>
        <v>14.864000000000001</v>
      </c>
      <c r="G53" s="26">
        <f>10%*D53</f>
        <v>74.320000000000007</v>
      </c>
      <c r="H53" s="26">
        <f t="shared" si="10"/>
        <v>89.184000000000012</v>
      </c>
      <c r="I53" s="19">
        <v>0</v>
      </c>
      <c r="J53" s="19">
        <v>0</v>
      </c>
      <c r="K53" s="19">
        <v>0</v>
      </c>
      <c r="L53" s="19">
        <v>0</v>
      </c>
      <c r="M53" s="19">
        <f t="shared" si="11"/>
        <v>0</v>
      </c>
      <c r="N53" s="35">
        <v>3</v>
      </c>
      <c r="O53" s="399" t="s">
        <v>644</v>
      </c>
      <c r="P53" s="234">
        <f t="shared" si="9"/>
        <v>55119428.000000007</v>
      </c>
      <c r="Q53" s="16"/>
    </row>
    <row r="54" spans="1:17" ht="15.75" customHeight="1" x14ac:dyDescent="0.3">
      <c r="A54" s="13"/>
      <c r="B54" s="14" t="s">
        <v>75</v>
      </c>
      <c r="C54" s="15" t="s">
        <v>112</v>
      </c>
      <c r="D54" s="26">
        <f>375+14</f>
        <v>389</v>
      </c>
      <c r="E54" s="50" t="s">
        <v>52</v>
      </c>
      <c r="F54" s="19">
        <f t="shared" si="14"/>
        <v>7.78</v>
      </c>
      <c r="G54" s="26">
        <f>9%*D54</f>
        <v>35.01</v>
      </c>
      <c r="H54" s="26">
        <f t="shared" si="10"/>
        <v>42.79</v>
      </c>
      <c r="I54" s="19">
        <v>0</v>
      </c>
      <c r="J54" s="19">
        <v>0</v>
      </c>
      <c r="K54" s="19">
        <v>0</v>
      </c>
      <c r="L54" s="19">
        <v>0</v>
      </c>
      <c r="M54" s="19">
        <f t="shared" si="11"/>
        <v>0</v>
      </c>
      <c r="N54" s="35"/>
      <c r="O54" s="401"/>
      <c r="P54" s="234">
        <f t="shared" si="9"/>
        <v>25965166.499999996</v>
      </c>
      <c r="Q54" s="16"/>
    </row>
    <row r="55" spans="1:17" ht="15.75" customHeight="1" x14ac:dyDescent="0.3">
      <c r="A55" s="13"/>
      <c r="B55" s="14" t="s">
        <v>104</v>
      </c>
      <c r="C55" s="15" t="s">
        <v>114</v>
      </c>
      <c r="D55" s="26">
        <f>73.5</f>
        <v>73.5</v>
      </c>
      <c r="E55" s="50" t="s">
        <v>52</v>
      </c>
      <c r="F55" s="19">
        <f t="shared" si="14"/>
        <v>1.47</v>
      </c>
      <c r="G55" s="26">
        <f>9%*D55</f>
        <v>6.6149999999999993</v>
      </c>
      <c r="H55" s="26">
        <f t="shared" si="10"/>
        <v>8.0849999999999991</v>
      </c>
      <c r="I55" s="19">
        <v>0</v>
      </c>
      <c r="J55" s="19">
        <v>0</v>
      </c>
      <c r="K55" s="19">
        <v>0</v>
      </c>
      <c r="L55" s="19">
        <v>0</v>
      </c>
      <c r="M55" s="19">
        <f t="shared" si="11"/>
        <v>0</v>
      </c>
      <c r="N55" s="35"/>
      <c r="O55" s="401"/>
      <c r="P55" s="234">
        <f t="shared" si="9"/>
        <v>4906014.75</v>
      </c>
      <c r="Q55" s="16"/>
    </row>
    <row r="56" spans="1:17" ht="14.25" customHeight="1" x14ac:dyDescent="0.3">
      <c r="A56" s="13"/>
      <c r="B56" s="14" t="s">
        <v>106</v>
      </c>
      <c r="C56" s="15" t="s">
        <v>22</v>
      </c>
      <c r="D56" s="26">
        <f>1130+101</f>
        <v>1231</v>
      </c>
      <c r="E56" s="50" t="s">
        <v>52</v>
      </c>
      <c r="F56" s="19">
        <f t="shared" si="14"/>
        <v>24.62</v>
      </c>
      <c r="G56" s="26">
        <f>10%*D56</f>
        <v>123.10000000000001</v>
      </c>
      <c r="H56" s="26">
        <f t="shared" si="10"/>
        <v>147.72</v>
      </c>
      <c r="I56" s="19">
        <v>0</v>
      </c>
      <c r="J56" s="19">
        <v>0</v>
      </c>
      <c r="K56" s="19">
        <v>4</v>
      </c>
      <c r="L56" s="19">
        <v>0</v>
      </c>
      <c r="M56" s="19">
        <f t="shared" si="11"/>
        <v>4</v>
      </c>
      <c r="N56" s="35"/>
      <c r="O56" s="401"/>
      <c r="P56" s="234">
        <f t="shared" si="9"/>
        <v>91297115</v>
      </c>
      <c r="Q56" s="16"/>
    </row>
    <row r="57" spans="1:17" ht="15" customHeight="1" x14ac:dyDescent="0.3">
      <c r="A57" s="13"/>
      <c r="B57" s="14" t="s">
        <v>108</v>
      </c>
      <c r="C57" s="15" t="s">
        <v>180</v>
      </c>
      <c r="D57" s="26">
        <f>134.8+5</f>
        <v>139.80000000000001</v>
      </c>
      <c r="E57" s="47" t="s">
        <v>52</v>
      </c>
      <c r="F57" s="19">
        <f>5%*D57</f>
        <v>6.9900000000000011</v>
      </c>
      <c r="G57" s="26">
        <f>10%*D57</f>
        <v>13.980000000000002</v>
      </c>
      <c r="H57" s="26">
        <f t="shared" si="10"/>
        <v>20.970000000000002</v>
      </c>
      <c r="I57" s="19">
        <v>0</v>
      </c>
      <c r="J57" s="19">
        <v>0</v>
      </c>
      <c r="K57" s="19">
        <v>0</v>
      </c>
      <c r="L57" s="19">
        <v>0</v>
      </c>
      <c r="M57" s="19">
        <f t="shared" si="11"/>
        <v>0</v>
      </c>
      <c r="N57" s="35"/>
      <c r="O57" s="401"/>
      <c r="P57" s="234">
        <f t="shared" si="9"/>
        <v>10368267</v>
      </c>
      <c r="Q57" s="16"/>
    </row>
    <row r="58" spans="1:17" ht="16.5" customHeight="1" x14ac:dyDescent="0.3">
      <c r="A58" s="13"/>
      <c r="B58" s="14" t="s">
        <v>109</v>
      </c>
      <c r="C58" s="15" t="s">
        <v>43</v>
      </c>
      <c r="D58" s="26">
        <f>1189+216.6</f>
        <v>1405.6</v>
      </c>
      <c r="E58" s="50" t="s">
        <v>52</v>
      </c>
      <c r="F58" s="19">
        <f>2%*D58</f>
        <v>28.111999999999998</v>
      </c>
      <c r="G58" s="26">
        <f>21%*D58</f>
        <v>295.17599999999999</v>
      </c>
      <c r="H58" s="26">
        <f t="shared" si="10"/>
        <v>323.28800000000001</v>
      </c>
      <c r="I58" s="19">
        <v>0</v>
      </c>
      <c r="J58" s="19">
        <v>0</v>
      </c>
      <c r="K58" s="19">
        <v>0</v>
      </c>
      <c r="L58" s="19">
        <v>0</v>
      </c>
      <c r="M58" s="19">
        <f t="shared" si="11"/>
        <v>0</v>
      </c>
      <c r="N58" s="35"/>
      <c r="O58" s="400"/>
      <c r="P58" s="234">
        <f t="shared" si="9"/>
        <v>218917280.40000001</v>
      </c>
      <c r="Q58" s="16"/>
    </row>
    <row r="59" spans="1:17" ht="14.25" customHeight="1" x14ac:dyDescent="0.3">
      <c r="A59" s="13"/>
      <c r="B59" s="55" t="s">
        <v>111</v>
      </c>
      <c r="C59" s="56" t="s">
        <v>44</v>
      </c>
      <c r="D59" s="57">
        <f>1396.6+127</f>
        <v>1523.6</v>
      </c>
      <c r="E59" s="78" t="s">
        <v>52</v>
      </c>
      <c r="F59" s="19">
        <f>5%*D59</f>
        <v>76.179999999999993</v>
      </c>
      <c r="G59" s="26">
        <f>10%*D59</f>
        <v>152.35999999999999</v>
      </c>
      <c r="H59" s="26">
        <f t="shared" si="10"/>
        <v>228.53999999999996</v>
      </c>
      <c r="I59" s="19">
        <v>0</v>
      </c>
      <c r="J59" s="19">
        <v>0</v>
      </c>
      <c r="K59" s="19">
        <v>0</v>
      </c>
      <c r="L59" s="19">
        <v>10</v>
      </c>
      <c r="M59" s="19">
        <f t="shared" si="11"/>
        <v>10</v>
      </c>
      <c r="N59" s="35"/>
      <c r="O59" s="36"/>
      <c r="P59" s="234">
        <f t="shared" si="9"/>
        <v>112997793.99999999</v>
      </c>
      <c r="Q59" s="16"/>
    </row>
    <row r="60" spans="1:17" ht="14.25" customHeight="1" x14ac:dyDescent="0.3">
      <c r="A60" s="13"/>
      <c r="B60" s="14" t="s">
        <v>74</v>
      </c>
      <c r="C60" s="15" t="s">
        <v>43</v>
      </c>
      <c r="D60" s="26">
        <v>1189</v>
      </c>
      <c r="E60" s="50" t="s">
        <v>52</v>
      </c>
      <c r="F60" s="19">
        <f>2%*D60</f>
        <v>23.78</v>
      </c>
      <c r="G60" s="26">
        <f>10%*D60</f>
        <v>118.9</v>
      </c>
      <c r="H60" s="26">
        <f t="shared" si="10"/>
        <v>142.68</v>
      </c>
      <c r="I60" s="19">
        <v>0</v>
      </c>
      <c r="J60" s="19"/>
      <c r="K60" s="19">
        <v>6</v>
      </c>
      <c r="L60" s="19">
        <v>5</v>
      </c>
      <c r="M60" s="19">
        <f t="shared" si="11"/>
        <v>11</v>
      </c>
      <c r="N60" s="35"/>
      <c r="O60" s="36"/>
      <c r="P60" s="234">
        <f t="shared" si="9"/>
        <v>88182185</v>
      </c>
      <c r="Q60" s="16"/>
    </row>
    <row r="61" spans="1:17" ht="18.75" customHeight="1" x14ac:dyDescent="0.3">
      <c r="A61" s="54"/>
      <c r="B61" s="55" t="s">
        <v>75</v>
      </c>
      <c r="C61" s="56" t="s">
        <v>44</v>
      </c>
      <c r="D61" s="57">
        <v>1391</v>
      </c>
      <c r="E61" s="78" t="s">
        <v>52</v>
      </c>
      <c r="F61" s="19">
        <f>2%*D61</f>
        <v>27.82</v>
      </c>
      <c r="G61" s="26">
        <f>9%*D61</f>
        <v>125.19</v>
      </c>
      <c r="H61" s="26">
        <f t="shared" si="10"/>
        <v>153.01</v>
      </c>
      <c r="I61" s="19">
        <v>0</v>
      </c>
      <c r="J61" s="19"/>
      <c r="K61" s="19">
        <v>2</v>
      </c>
      <c r="L61" s="19">
        <v>9</v>
      </c>
      <c r="M61" s="19">
        <f t="shared" si="11"/>
        <v>11</v>
      </c>
      <c r="N61" s="35"/>
      <c r="O61" s="36"/>
      <c r="P61" s="234">
        <f t="shared" si="9"/>
        <v>92847163.5</v>
      </c>
      <c r="Q61" s="16"/>
    </row>
    <row r="62" spans="1:17" ht="25.5" customHeight="1" x14ac:dyDescent="0.3">
      <c r="A62" s="89"/>
      <c r="B62" s="72" t="s">
        <v>347</v>
      </c>
      <c r="C62" s="72"/>
      <c r="D62" s="84">
        <f>SUM(D32:D61)</f>
        <v>30736.879999999997</v>
      </c>
      <c r="E62" s="74"/>
      <c r="F62" s="83">
        <f>SUM(F39:F61)</f>
        <v>560.54450000000008</v>
      </c>
      <c r="G62" s="83">
        <f t="shared" ref="G62:M62" si="15">SUM(G32:G61)</f>
        <v>4970.9974999999995</v>
      </c>
      <c r="H62" s="83">
        <f t="shared" si="15"/>
        <v>5835.5797000000011</v>
      </c>
      <c r="I62" s="83">
        <f t="shared" si="15"/>
        <v>0</v>
      </c>
      <c r="J62" s="83">
        <f t="shared" si="15"/>
        <v>0</v>
      </c>
      <c r="K62" s="83">
        <f t="shared" si="15"/>
        <v>37</v>
      </c>
      <c r="L62" s="83">
        <f t="shared" si="15"/>
        <v>75</v>
      </c>
      <c r="M62" s="83">
        <f t="shared" si="15"/>
        <v>112</v>
      </c>
      <c r="N62" s="76"/>
      <c r="O62" s="77"/>
      <c r="P62" s="184">
        <f>SUM(P32:P61)</f>
        <v>3686740295.875</v>
      </c>
      <c r="Q62" s="75"/>
    </row>
    <row r="63" spans="1:17" ht="18.75" customHeight="1" x14ac:dyDescent="0.3">
      <c r="A63" s="63">
        <v>4</v>
      </c>
      <c r="B63" s="64" t="s">
        <v>46</v>
      </c>
      <c r="C63" s="65"/>
      <c r="D63" s="66"/>
      <c r="E63" s="67"/>
      <c r="F63" s="82"/>
      <c r="G63" s="82"/>
      <c r="H63" s="82"/>
      <c r="I63" s="82"/>
      <c r="J63" s="82"/>
      <c r="K63" s="82"/>
      <c r="L63" s="82"/>
      <c r="M63" s="82"/>
      <c r="N63" s="69"/>
      <c r="O63" s="70"/>
      <c r="P63" s="233"/>
      <c r="Q63" s="68"/>
    </row>
    <row r="64" spans="1:17" ht="25.5" customHeight="1" x14ac:dyDescent="0.3">
      <c r="A64" s="102"/>
      <c r="B64" s="98" t="s">
        <v>57</v>
      </c>
      <c r="C64" s="99" t="s">
        <v>29</v>
      </c>
      <c r="D64" s="96">
        <v>175</v>
      </c>
      <c r="E64" s="101" t="s">
        <v>645</v>
      </c>
      <c r="F64" s="96">
        <f>5%*D64</f>
        <v>8.75</v>
      </c>
      <c r="G64" s="96">
        <f>3%*D64</f>
        <v>5.25</v>
      </c>
      <c r="H64" s="96">
        <f>SUM(F64:G64)</f>
        <v>14</v>
      </c>
      <c r="I64" s="97">
        <v>0</v>
      </c>
      <c r="J64" s="97"/>
      <c r="K64" s="97"/>
      <c r="L64" s="97">
        <v>5</v>
      </c>
      <c r="M64" s="97">
        <f t="shared" ref="M64:M71" si="16">SUM(I64:L64)</f>
        <v>5</v>
      </c>
      <c r="N64" s="35" t="s">
        <v>51</v>
      </c>
      <c r="O64" s="36" t="s">
        <v>229</v>
      </c>
      <c r="P64" s="234">
        <f>G64*1.036*20%*8000000</f>
        <v>8702400</v>
      </c>
      <c r="Q64" s="16"/>
    </row>
    <row r="65" spans="1:20" ht="21.75" customHeight="1" x14ac:dyDescent="0.3">
      <c r="A65" s="13"/>
      <c r="B65" s="14" t="s">
        <v>58</v>
      </c>
      <c r="C65" s="15" t="s">
        <v>33</v>
      </c>
      <c r="D65" s="26">
        <v>368</v>
      </c>
      <c r="E65" s="47" t="s">
        <v>185</v>
      </c>
      <c r="F65" s="26">
        <f>5%*D65</f>
        <v>18.400000000000002</v>
      </c>
      <c r="G65" s="26">
        <f>10%*D65</f>
        <v>36.800000000000004</v>
      </c>
      <c r="H65" s="26">
        <f t="shared" ref="H65:H71" si="17">SUM(F65:G65)</f>
        <v>55.2</v>
      </c>
      <c r="I65" s="19">
        <v>0</v>
      </c>
      <c r="J65" s="19"/>
      <c r="K65" s="19">
        <v>0</v>
      </c>
      <c r="L65" s="19">
        <v>6</v>
      </c>
      <c r="M65" s="19">
        <f t="shared" si="16"/>
        <v>6</v>
      </c>
      <c r="N65" s="35" t="s">
        <v>51</v>
      </c>
      <c r="O65" s="36" t="s">
        <v>138</v>
      </c>
      <c r="P65" s="234">
        <f>G65*1.036*20%*8000000</f>
        <v>60999680.000000015</v>
      </c>
      <c r="Q65" s="16"/>
    </row>
    <row r="66" spans="1:20" ht="22.5" customHeight="1" x14ac:dyDescent="0.3">
      <c r="A66" s="13"/>
      <c r="B66" s="98" t="s">
        <v>59</v>
      </c>
      <c r="C66" s="99" t="s">
        <v>42</v>
      </c>
      <c r="D66" s="96">
        <v>774.98</v>
      </c>
      <c r="E66" s="101" t="s">
        <v>645</v>
      </c>
      <c r="F66" s="96">
        <f>4%*D66</f>
        <v>30.999200000000002</v>
      </c>
      <c r="G66" s="97">
        <f>15%*D66</f>
        <v>116.247</v>
      </c>
      <c r="H66" s="96">
        <f t="shared" si="17"/>
        <v>147.24619999999999</v>
      </c>
      <c r="I66" s="97">
        <v>0</v>
      </c>
      <c r="J66" s="97"/>
      <c r="K66" s="97">
        <v>0</v>
      </c>
      <c r="L66" s="97">
        <v>0</v>
      </c>
      <c r="M66" s="97">
        <f t="shared" si="16"/>
        <v>0</v>
      </c>
      <c r="N66" s="35"/>
      <c r="O66" s="36"/>
      <c r="P66" s="234">
        <f>G66*1.036*20%*8000000</f>
        <v>192691027.20000002</v>
      </c>
      <c r="Q66" s="16"/>
    </row>
    <row r="67" spans="1:20" ht="25.5" customHeight="1" x14ac:dyDescent="0.3">
      <c r="A67" s="13"/>
      <c r="B67" s="98" t="s">
        <v>60</v>
      </c>
      <c r="C67" s="99" t="s">
        <v>21</v>
      </c>
      <c r="D67" s="96">
        <v>942.55</v>
      </c>
      <c r="E67" s="101" t="s">
        <v>645</v>
      </c>
      <c r="F67" s="96">
        <f>2%*D67</f>
        <v>18.850999999999999</v>
      </c>
      <c r="G67" s="97">
        <f>4%*D67</f>
        <v>37.701999999999998</v>
      </c>
      <c r="H67" s="96">
        <f t="shared" si="17"/>
        <v>56.552999999999997</v>
      </c>
      <c r="I67" s="97">
        <v>0</v>
      </c>
      <c r="J67" s="97"/>
      <c r="K67" s="97">
        <v>0</v>
      </c>
      <c r="L67" s="97">
        <v>5</v>
      </c>
      <c r="M67" s="97">
        <f t="shared" si="16"/>
        <v>5</v>
      </c>
      <c r="N67" s="35"/>
      <c r="O67" s="36"/>
      <c r="P67" s="234">
        <f t="shared" ref="P67:P69" si="18">G67*1.036*20%*8500000</f>
        <v>66400762.400000006</v>
      </c>
      <c r="Q67" s="16"/>
      <c r="S67" s="1" t="s">
        <v>641</v>
      </c>
    </row>
    <row r="68" spans="1:20" ht="22.5" customHeight="1" x14ac:dyDescent="0.3">
      <c r="A68" s="13"/>
      <c r="B68" s="98"/>
      <c r="C68" s="99"/>
      <c r="D68" s="96"/>
      <c r="E68" s="47" t="s">
        <v>185</v>
      </c>
      <c r="F68" s="96">
        <f>1%*D67</f>
        <v>9.4254999999999995</v>
      </c>
      <c r="G68" s="96">
        <f>1%*D67</f>
        <v>9.4254999999999995</v>
      </c>
      <c r="H68" s="96">
        <f>SUM(F68:G68)</f>
        <v>18.850999999999999</v>
      </c>
      <c r="I68" s="19">
        <v>0</v>
      </c>
      <c r="J68" s="19">
        <v>0</v>
      </c>
      <c r="K68" s="19">
        <v>0</v>
      </c>
      <c r="L68" s="19">
        <v>0</v>
      </c>
      <c r="M68" s="19">
        <f t="shared" si="16"/>
        <v>0</v>
      </c>
      <c r="N68" s="35"/>
      <c r="O68" s="36"/>
      <c r="P68" s="234">
        <f t="shared" si="18"/>
        <v>16600190.600000001</v>
      </c>
      <c r="Q68" s="16"/>
    </row>
    <row r="69" spans="1:20" ht="24" customHeight="1" x14ac:dyDescent="0.3">
      <c r="A69" s="16"/>
      <c r="B69" s="14" t="s">
        <v>61</v>
      </c>
      <c r="C69" s="15" t="s">
        <v>22</v>
      </c>
      <c r="D69" s="26">
        <v>1233.55</v>
      </c>
      <c r="E69" s="101" t="s">
        <v>645</v>
      </c>
      <c r="F69" s="26">
        <f>2%*D69</f>
        <v>24.670999999999999</v>
      </c>
      <c r="G69" s="19">
        <f>4%*D69</f>
        <v>49.341999999999999</v>
      </c>
      <c r="H69" s="26">
        <f t="shared" si="17"/>
        <v>74.013000000000005</v>
      </c>
      <c r="I69" s="19">
        <v>0</v>
      </c>
      <c r="J69" s="19"/>
      <c r="K69" s="19">
        <v>5</v>
      </c>
      <c r="L69" s="19">
        <v>5</v>
      </c>
      <c r="M69" s="19">
        <f t="shared" si="16"/>
        <v>10</v>
      </c>
      <c r="N69" s="35"/>
      <c r="O69" s="36"/>
      <c r="P69" s="234">
        <f t="shared" si="18"/>
        <v>86901130.400000021</v>
      </c>
      <c r="Q69" s="16"/>
    </row>
    <row r="70" spans="1:20" ht="21" customHeight="1" x14ac:dyDescent="0.3">
      <c r="A70" s="87"/>
      <c r="B70" s="55" t="s">
        <v>62</v>
      </c>
      <c r="C70" s="56" t="s">
        <v>43</v>
      </c>
      <c r="D70" s="57">
        <v>133</v>
      </c>
      <c r="E70" s="101" t="s">
        <v>645</v>
      </c>
      <c r="F70" s="19">
        <f>5%*D70</f>
        <v>6.65</v>
      </c>
      <c r="G70" s="19">
        <f>2%*D70</f>
        <v>2.66</v>
      </c>
      <c r="H70" s="26">
        <f t="shared" si="17"/>
        <v>9.31</v>
      </c>
      <c r="I70" s="19">
        <v>0</v>
      </c>
      <c r="J70" s="19"/>
      <c r="K70" s="19">
        <v>0</v>
      </c>
      <c r="L70" s="19">
        <v>2</v>
      </c>
      <c r="M70" s="19">
        <f t="shared" si="16"/>
        <v>2</v>
      </c>
      <c r="N70" s="35"/>
      <c r="O70" s="36"/>
      <c r="P70" s="234">
        <f>G70*1.036*20%*8000000</f>
        <v>4409216.0000000009</v>
      </c>
      <c r="Q70" s="16"/>
    </row>
    <row r="71" spans="1:20" ht="27.75" customHeight="1" x14ac:dyDescent="0.3">
      <c r="A71" s="16"/>
      <c r="B71" s="14" t="s">
        <v>63</v>
      </c>
      <c r="C71" s="15" t="s">
        <v>32</v>
      </c>
      <c r="D71" s="26">
        <v>298.5</v>
      </c>
      <c r="E71" s="101" t="s">
        <v>645</v>
      </c>
      <c r="F71" s="135">
        <f>1%*D71</f>
        <v>2.9849999999999999</v>
      </c>
      <c r="G71" s="19">
        <f>1%*D71</f>
        <v>2.9849999999999999</v>
      </c>
      <c r="H71" s="26">
        <f t="shared" si="17"/>
        <v>5.97</v>
      </c>
      <c r="I71" s="135">
        <v>0</v>
      </c>
      <c r="J71" s="135"/>
      <c r="K71" s="135">
        <v>0</v>
      </c>
      <c r="L71" s="135">
        <v>6</v>
      </c>
      <c r="M71" s="135">
        <f t="shared" si="16"/>
        <v>6</v>
      </c>
      <c r="N71" s="80"/>
      <c r="O71" s="81"/>
      <c r="P71" s="234">
        <f>G71*1.036*20%*8000000</f>
        <v>4947936</v>
      </c>
      <c r="Q71" s="87"/>
    </row>
    <row r="72" spans="1:20" ht="18.75" customHeight="1" x14ac:dyDescent="0.3">
      <c r="A72" s="75"/>
      <c r="B72" s="72" t="s">
        <v>348</v>
      </c>
      <c r="C72" s="72"/>
      <c r="D72" s="73">
        <f>SUM(D64:D71)</f>
        <v>3925.58</v>
      </c>
      <c r="E72" s="74"/>
      <c r="F72" s="73">
        <f t="shared" ref="F72:K72" si="19">SUM(F64:F71)</f>
        <v>120.7317</v>
      </c>
      <c r="G72" s="83">
        <f t="shared" si="19"/>
        <v>260.41150000000005</v>
      </c>
      <c r="H72" s="73">
        <f t="shared" si="19"/>
        <v>381.14320000000004</v>
      </c>
      <c r="I72" s="83">
        <f t="shared" si="19"/>
        <v>0</v>
      </c>
      <c r="J72" s="83">
        <f t="shared" si="19"/>
        <v>0</v>
      </c>
      <c r="K72" s="83">
        <f t="shared" si="19"/>
        <v>5</v>
      </c>
      <c r="L72" s="83">
        <f>SUM(L63:L71)</f>
        <v>29</v>
      </c>
      <c r="M72" s="83">
        <f>SUM(M64:M71)</f>
        <v>34</v>
      </c>
      <c r="N72" s="76"/>
      <c r="O72" s="77"/>
      <c r="P72" s="184">
        <f>SUM(P64:P71)</f>
        <v>441652342.60000008</v>
      </c>
      <c r="Q72" s="75"/>
    </row>
    <row r="73" spans="1:20" ht="16.5" customHeight="1" x14ac:dyDescent="0.3">
      <c r="A73" s="63">
        <v>5</v>
      </c>
      <c r="B73" s="64" t="s">
        <v>96</v>
      </c>
      <c r="C73" s="65"/>
      <c r="D73" s="66"/>
      <c r="E73" s="67"/>
      <c r="F73" s="66"/>
      <c r="G73" s="66"/>
      <c r="H73" s="66"/>
      <c r="I73" s="82"/>
      <c r="J73" s="82"/>
      <c r="K73" s="82"/>
      <c r="L73" s="82"/>
      <c r="M73" s="82"/>
      <c r="N73" s="69"/>
      <c r="O73" s="70"/>
      <c r="P73" s="233"/>
      <c r="Q73" s="68"/>
    </row>
    <row r="74" spans="1:20" ht="16.5" customHeight="1" x14ac:dyDescent="0.3">
      <c r="A74" s="16"/>
      <c r="B74" s="14" t="s">
        <v>57</v>
      </c>
      <c r="C74" s="15" t="s">
        <v>22</v>
      </c>
      <c r="D74" s="26">
        <v>9.5</v>
      </c>
      <c r="E74" s="47" t="s">
        <v>187</v>
      </c>
      <c r="F74" s="26">
        <f>70%*D74</f>
        <v>6.6499999999999995</v>
      </c>
      <c r="G74" s="26">
        <f>15%*D74</f>
        <v>1.425</v>
      </c>
      <c r="H74" s="26">
        <f t="shared" ref="H74:H82" si="20">SUM(F74:G74)</f>
        <v>8.0749999999999993</v>
      </c>
      <c r="I74" s="19">
        <v>0</v>
      </c>
      <c r="J74" s="19"/>
      <c r="K74" s="19">
        <v>7</v>
      </c>
      <c r="L74" s="19">
        <v>1</v>
      </c>
      <c r="M74" s="19">
        <f>SUM(I74:L74)</f>
        <v>8</v>
      </c>
      <c r="N74" s="35"/>
      <c r="O74" s="36"/>
      <c r="P74" s="234">
        <f t="shared" ref="P74:P82" si="21">G74*0.486*30%*0</f>
        <v>0</v>
      </c>
      <c r="Q74" s="16"/>
    </row>
    <row r="75" spans="1:20" ht="17.25" customHeight="1" x14ac:dyDescent="0.3">
      <c r="A75" s="16"/>
      <c r="B75" s="14" t="s">
        <v>58</v>
      </c>
      <c r="C75" s="15" t="s">
        <v>21</v>
      </c>
      <c r="D75" s="26">
        <v>18.11</v>
      </c>
      <c r="E75" s="47" t="s">
        <v>187</v>
      </c>
      <c r="F75" s="26">
        <f>26%*D75</f>
        <v>4.7085999999999997</v>
      </c>
      <c r="G75" s="26">
        <f>40%*D75</f>
        <v>7.2439999999999998</v>
      </c>
      <c r="H75" s="26">
        <f t="shared" si="20"/>
        <v>11.9526</v>
      </c>
      <c r="I75" s="19">
        <v>0</v>
      </c>
      <c r="J75" s="19"/>
      <c r="K75" s="19"/>
      <c r="L75" s="19">
        <v>2</v>
      </c>
      <c r="M75" s="19">
        <f t="shared" ref="M75:M82" si="22">SUM(I75:L75)</f>
        <v>2</v>
      </c>
      <c r="N75" s="35"/>
      <c r="O75" s="36" t="s">
        <v>50</v>
      </c>
      <c r="P75" s="234">
        <f t="shared" si="21"/>
        <v>0</v>
      </c>
      <c r="Q75" s="16"/>
      <c r="S75" s="1" t="s">
        <v>636</v>
      </c>
      <c r="T75" s="1" t="s">
        <v>637</v>
      </c>
    </row>
    <row r="76" spans="1:20" ht="16.5" customHeight="1" x14ac:dyDescent="0.3">
      <c r="A76" s="16"/>
      <c r="B76" s="14"/>
      <c r="C76" s="15"/>
      <c r="D76" s="26"/>
      <c r="E76" s="47" t="s">
        <v>631</v>
      </c>
      <c r="F76" s="96">
        <f>15%*D75</f>
        <v>2.7164999999999999</v>
      </c>
      <c r="G76" s="96">
        <f>15%*D75</f>
        <v>2.7164999999999999</v>
      </c>
      <c r="H76" s="96">
        <f t="shared" si="20"/>
        <v>5.4329999999999998</v>
      </c>
      <c r="I76" s="97">
        <v>0</v>
      </c>
      <c r="J76" s="97">
        <v>0</v>
      </c>
      <c r="K76" s="97">
        <v>0</v>
      </c>
      <c r="L76" s="97">
        <v>1</v>
      </c>
      <c r="M76" s="97">
        <f t="shared" si="22"/>
        <v>1</v>
      </c>
      <c r="N76" s="35"/>
      <c r="O76" s="36"/>
      <c r="P76" s="234">
        <f t="shared" si="21"/>
        <v>0</v>
      </c>
      <c r="Q76" s="16"/>
      <c r="T76" s="1" t="s">
        <v>638</v>
      </c>
    </row>
    <row r="77" spans="1:20" ht="16.5" customHeight="1" x14ac:dyDescent="0.3">
      <c r="A77" s="16"/>
      <c r="B77" s="14" t="s">
        <v>59</v>
      </c>
      <c r="C77" s="15" t="s">
        <v>43</v>
      </c>
      <c r="D77" s="26">
        <v>19.79</v>
      </c>
      <c r="E77" s="47" t="s">
        <v>187</v>
      </c>
      <c r="F77" s="96">
        <f>15%*D77</f>
        <v>2.9684999999999997</v>
      </c>
      <c r="G77" s="26">
        <f>15%*D77</f>
        <v>2.9684999999999997</v>
      </c>
      <c r="H77" s="26">
        <f t="shared" si="20"/>
        <v>5.9369999999999994</v>
      </c>
      <c r="I77" s="19">
        <v>0</v>
      </c>
      <c r="J77" s="19"/>
      <c r="K77" s="19"/>
      <c r="L77" s="19">
        <v>2</v>
      </c>
      <c r="M77" s="19">
        <f t="shared" si="22"/>
        <v>2</v>
      </c>
      <c r="N77" s="35"/>
      <c r="O77" s="36" t="s">
        <v>137</v>
      </c>
      <c r="P77" s="234">
        <f t="shared" si="21"/>
        <v>0</v>
      </c>
      <c r="Q77" s="16"/>
    </row>
    <row r="78" spans="1:20" ht="17.25" customHeight="1" x14ac:dyDescent="0.3">
      <c r="A78" s="16"/>
      <c r="B78" s="14" t="s">
        <v>60</v>
      </c>
      <c r="C78" s="15" t="s">
        <v>44</v>
      </c>
      <c r="D78" s="26">
        <v>30.5</v>
      </c>
      <c r="E78" s="47" t="s">
        <v>187</v>
      </c>
      <c r="F78" s="26">
        <f>10%*D78</f>
        <v>3.0500000000000003</v>
      </c>
      <c r="G78" s="26">
        <f>15%*D78</f>
        <v>4.5750000000000002</v>
      </c>
      <c r="H78" s="26">
        <f t="shared" si="20"/>
        <v>7.625</v>
      </c>
      <c r="I78" s="19">
        <v>0</v>
      </c>
      <c r="J78" s="19">
        <v>0</v>
      </c>
      <c r="K78" s="19">
        <v>0</v>
      </c>
      <c r="L78" s="19">
        <v>2</v>
      </c>
      <c r="M78" s="19">
        <f t="shared" si="22"/>
        <v>2</v>
      </c>
      <c r="N78" s="35"/>
      <c r="O78" s="36" t="s">
        <v>145</v>
      </c>
      <c r="P78" s="234">
        <f t="shared" si="21"/>
        <v>0</v>
      </c>
      <c r="Q78" s="16"/>
    </row>
    <row r="79" spans="1:20" ht="15.75" customHeight="1" x14ac:dyDescent="0.3">
      <c r="A79" s="16"/>
      <c r="B79" s="14" t="s">
        <v>61</v>
      </c>
      <c r="C79" s="15" t="s">
        <v>33</v>
      </c>
      <c r="D79" s="26">
        <v>8.3000000000000007</v>
      </c>
      <c r="E79" s="47" t="s">
        <v>187</v>
      </c>
      <c r="F79" s="26">
        <f>15%*D79</f>
        <v>1.2450000000000001</v>
      </c>
      <c r="G79" s="26">
        <f>10%*D79</f>
        <v>0.83000000000000007</v>
      </c>
      <c r="H79" s="26">
        <f t="shared" si="20"/>
        <v>2.0750000000000002</v>
      </c>
      <c r="I79" s="19">
        <v>0</v>
      </c>
      <c r="J79" s="19">
        <v>0</v>
      </c>
      <c r="K79" s="19">
        <v>0</v>
      </c>
      <c r="L79" s="19">
        <v>1</v>
      </c>
      <c r="M79" s="19">
        <f t="shared" si="22"/>
        <v>1</v>
      </c>
      <c r="N79" s="35"/>
      <c r="O79" s="36" t="s">
        <v>626</v>
      </c>
      <c r="P79" s="234">
        <f t="shared" si="21"/>
        <v>0</v>
      </c>
      <c r="Q79" s="16"/>
    </row>
    <row r="80" spans="1:20" ht="17.25" customHeight="1" x14ac:dyDescent="0.3">
      <c r="A80" s="16"/>
      <c r="B80" s="14" t="s">
        <v>62</v>
      </c>
      <c r="C80" s="15" t="s">
        <v>32</v>
      </c>
      <c r="D80" s="26">
        <v>1.25</v>
      </c>
      <c r="E80" s="47" t="s">
        <v>187</v>
      </c>
      <c r="F80" s="26">
        <f>11%*D80</f>
        <v>0.13750000000000001</v>
      </c>
      <c r="G80" s="26">
        <f>15%*D80</f>
        <v>0.1875</v>
      </c>
      <c r="H80" s="26">
        <f t="shared" si="20"/>
        <v>0.32500000000000001</v>
      </c>
      <c r="I80" s="19">
        <v>0</v>
      </c>
      <c r="J80" s="19">
        <v>0</v>
      </c>
      <c r="K80" s="19">
        <v>0</v>
      </c>
      <c r="L80" s="19">
        <v>1</v>
      </c>
      <c r="M80" s="19">
        <f t="shared" si="22"/>
        <v>1</v>
      </c>
      <c r="N80" s="35"/>
      <c r="O80" s="36"/>
      <c r="P80" s="234">
        <f t="shared" si="21"/>
        <v>0</v>
      </c>
      <c r="Q80" s="16"/>
    </row>
    <row r="81" spans="1:20" ht="16.5" customHeight="1" x14ac:dyDescent="0.3">
      <c r="A81" s="16"/>
      <c r="B81" s="14">
        <v>9</v>
      </c>
      <c r="C81" s="15" t="s">
        <v>30</v>
      </c>
      <c r="D81" s="26">
        <v>9.5</v>
      </c>
      <c r="E81" s="47" t="s">
        <v>187</v>
      </c>
      <c r="F81" s="26">
        <f>11%*D81</f>
        <v>1.0449999999999999</v>
      </c>
      <c r="G81" s="26">
        <f>16%*D81</f>
        <v>1.52</v>
      </c>
      <c r="H81" s="26">
        <f t="shared" si="20"/>
        <v>2.5649999999999999</v>
      </c>
      <c r="I81" s="19">
        <v>0</v>
      </c>
      <c r="J81" s="19">
        <v>0</v>
      </c>
      <c r="K81" s="19">
        <v>1</v>
      </c>
      <c r="L81" s="19">
        <v>1</v>
      </c>
      <c r="M81" s="19">
        <f t="shared" si="22"/>
        <v>2</v>
      </c>
      <c r="N81" s="35"/>
      <c r="O81" s="36"/>
      <c r="P81" s="234">
        <f t="shared" si="21"/>
        <v>0</v>
      </c>
      <c r="Q81" s="16"/>
    </row>
    <row r="82" spans="1:20" ht="17.25" customHeight="1" x14ac:dyDescent="0.3">
      <c r="A82" s="87"/>
      <c r="B82" s="55" t="s">
        <v>64</v>
      </c>
      <c r="C82" s="56" t="s">
        <v>31</v>
      </c>
      <c r="D82" s="57">
        <v>6</v>
      </c>
      <c r="E82" s="47" t="s">
        <v>187</v>
      </c>
      <c r="F82" s="26">
        <f>15%*D82</f>
        <v>0.89999999999999991</v>
      </c>
      <c r="G82" s="26">
        <f>15%*D82</f>
        <v>0.89999999999999991</v>
      </c>
      <c r="H82" s="26">
        <f t="shared" si="20"/>
        <v>1.7999999999999998</v>
      </c>
      <c r="I82" s="79">
        <v>0</v>
      </c>
      <c r="J82" s="79">
        <v>0</v>
      </c>
      <c r="K82" s="79">
        <v>0</v>
      </c>
      <c r="L82" s="79">
        <v>2</v>
      </c>
      <c r="M82" s="79">
        <f t="shared" si="22"/>
        <v>2</v>
      </c>
      <c r="N82" s="80"/>
      <c r="O82" s="81"/>
      <c r="P82" s="234">
        <f t="shared" si="21"/>
        <v>0</v>
      </c>
      <c r="Q82" s="87"/>
    </row>
    <row r="83" spans="1:20" ht="18.75" customHeight="1" x14ac:dyDescent="0.3">
      <c r="A83" s="75"/>
      <c r="B83" s="72" t="s">
        <v>349</v>
      </c>
      <c r="C83" s="72"/>
      <c r="D83" s="73">
        <f>SUM(D74:D82)</f>
        <v>102.95</v>
      </c>
      <c r="E83" s="74"/>
      <c r="F83" s="73">
        <f t="shared" ref="F83:K83" si="23">SUM(F74:F82)</f>
        <v>23.421099999999996</v>
      </c>
      <c r="G83" s="73">
        <f t="shared" si="23"/>
        <v>22.366499999999998</v>
      </c>
      <c r="H83" s="73">
        <f t="shared" si="23"/>
        <v>45.787599999999998</v>
      </c>
      <c r="I83" s="83">
        <f t="shared" si="23"/>
        <v>0</v>
      </c>
      <c r="J83" s="83">
        <f t="shared" si="23"/>
        <v>0</v>
      </c>
      <c r="K83" s="83">
        <f t="shared" si="23"/>
        <v>8</v>
      </c>
      <c r="L83" s="83">
        <f>SUM(L73:L82)</f>
        <v>13</v>
      </c>
      <c r="M83" s="83">
        <f>SUM(M74:M82)</f>
        <v>21</v>
      </c>
      <c r="N83" s="76"/>
      <c r="O83" s="77"/>
      <c r="P83" s="184">
        <f>SUM(P74:P82)</f>
        <v>0</v>
      </c>
      <c r="Q83" s="75"/>
    </row>
    <row r="84" spans="1:20" ht="17.25" customHeight="1" x14ac:dyDescent="0.3">
      <c r="A84" s="103">
        <v>6</v>
      </c>
      <c r="B84" s="104" t="s">
        <v>116</v>
      </c>
      <c r="C84" s="104"/>
      <c r="D84" s="105"/>
      <c r="E84" s="106"/>
      <c r="F84" s="105"/>
      <c r="G84" s="107"/>
      <c r="H84" s="105"/>
      <c r="I84" s="107"/>
      <c r="J84" s="107"/>
      <c r="K84" s="107"/>
      <c r="L84" s="107"/>
      <c r="M84" s="107"/>
      <c r="N84" s="69"/>
      <c r="O84" s="70"/>
      <c r="P84" s="233"/>
      <c r="Q84" s="68"/>
      <c r="S84" s="1" t="s">
        <v>596</v>
      </c>
    </row>
    <row r="85" spans="1:20" ht="19.5" customHeight="1" x14ac:dyDescent="0.3">
      <c r="A85" s="27"/>
      <c r="B85" s="152" t="s">
        <v>57</v>
      </c>
      <c r="C85" s="153" t="s">
        <v>30</v>
      </c>
      <c r="D85" s="154">
        <v>57.9</v>
      </c>
      <c r="E85" s="101" t="s">
        <v>607</v>
      </c>
      <c r="F85" s="154">
        <f>7%*D85</f>
        <v>4.0529999999999999</v>
      </c>
      <c r="G85" s="155">
        <f>15%*D85</f>
        <v>8.6849999999999987</v>
      </c>
      <c r="H85" s="154">
        <f t="shared" ref="H85:H90" si="24">SUM(F85:G85)</f>
        <v>12.738</v>
      </c>
      <c r="I85" s="155">
        <v>0</v>
      </c>
      <c r="J85" s="155"/>
      <c r="K85" s="155">
        <v>2</v>
      </c>
      <c r="L85" s="155">
        <v>5</v>
      </c>
      <c r="M85" s="155">
        <f>SUM(I85:L85)</f>
        <v>7</v>
      </c>
      <c r="N85" s="156" t="s">
        <v>86</v>
      </c>
      <c r="O85" s="40" t="s">
        <v>271</v>
      </c>
      <c r="P85" s="235">
        <f t="shared" ref="P85:P90" si="25">G85*0.347*30*16000000</f>
        <v>1446573599.9999998</v>
      </c>
      <c r="Q85" s="27"/>
      <c r="S85" s="1" t="s">
        <v>597</v>
      </c>
      <c r="T85" s="1" t="s">
        <v>598</v>
      </c>
    </row>
    <row r="86" spans="1:20" ht="16.5" customHeight="1" x14ac:dyDescent="0.3">
      <c r="A86" s="27"/>
      <c r="B86" s="152"/>
      <c r="C86" s="153"/>
      <c r="D86" s="154"/>
      <c r="E86" s="101" t="s">
        <v>625</v>
      </c>
      <c r="F86" s="154">
        <f>4%*D85</f>
        <v>2.3159999999999998</v>
      </c>
      <c r="G86" s="155">
        <f>10%*D85</f>
        <v>5.79</v>
      </c>
      <c r="H86" s="154">
        <f t="shared" ref="H86" si="26">SUM(F86:G86)</f>
        <v>8.1059999999999999</v>
      </c>
      <c r="I86" s="155">
        <v>0</v>
      </c>
      <c r="J86" s="155"/>
      <c r="K86" s="155"/>
      <c r="L86" s="155">
        <v>2</v>
      </c>
      <c r="M86" s="155">
        <f>SUM(I86:L86)</f>
        <v>2</v>
      </c>
      <c r="N86" s="156"/>
      <c r="O86" s="40"/>
      <c r="P86" s="235">
        <f t="shared" si="25"/>
        <v>964382400</v>
      </c>
      <c r="Q86" s="27"/>
    </row>
    <row r="87" spans="1:20" ht="18" customHeight="1" x14ac:dyDescent="0.3">
      <c r="A87" s="16"/>
      <c r="B87" s="14" t="s">
        <v>58</v>
      </c>
      <c r="C87" s="15" t="s">
        <v>44</v>
      </c>
      <c r="D87" s="26">
        <v>84.65</v>
      </c>
      <c r="E87" s="47" t="s">
        <v>182</v>
      </c>
      <c r="F87" s="26">
        <f>6%*D87</f>
        <v>5.0789999999999997</v>
      </c>
      <c r="G87" s="19">
        <f>15%*D87</f>
        <v>12.6975</v>
      </c>
      <c r="H87" s="26">
        <f t="shared" si="24"/>
        <v>17.776499999999999</v>
      </c>
      <c r="I87" s="19">
        <v>0</v>
      </c>
      <c r="J87" s="19"/>
      <c r="K87" s="19"/>
      <c r="L87" s="19">
        <v>5</v>
      </c>
      <c r="M87" s="19">
        <f t="shared" ref="M87:M90" si="27">SUM(I87:L87)</f>
        <v>5</v>
      </c>
      <c r="N87" s="35"/>
      <c r="O87" s="36" t="s">
        <v>272</v>
      </c>
      <c r="P87" s="235">
        <f t="shared" si="25"/>
        <v>2114895599.9999998</v>
      </c>
      <c r="Q87" s="16"/>
      <c r="S87" s="1" t="s">
        <v>599</v>
      </c>
      <c r="T87" s="1" t="s">
        <v>600</v>
      </c>
    </row>
    <row r="88" spans="1:20" ht="29.25" customHeight="1" x14ac:dyDescent="0.3">
      <c r="A88" s="16"/>
      <c r="B88" s="14"/>
      <c r="C88" s="15"/>
      <c r="D88" s="26"/>
      <c r="E88" s="101" t="s">
        <v>181</v>
      </c>
      <c r="F88" s="96">
        <f>15%*D87</f>
        <v>12.6975</v>
      </c>
      <c r="G88" s="97">
        <f>4%*D87</f>
        <v>3.3860000000000001</v>
      </c>
      <c r="H88" s="96">
        <f t="shared" si="24"/>
        <v>16.083500000000001</v>
      </c>
      <c r="I88" s="97">
        <v>0</v>
      </c>
      <c r="J88" s="97"/>
      <c r="K88" s="97">
        <v>0</v>
      </c>
      <c r="L88" s="97">
        <v>4</v>
      </c>
      <c r="M88" s="97">
        <f>SUM(I88:L88)</f>
        <v>4</v>
      </c>
      <c r="N88" s="35"/>
      <c r="O88" s="159" t="s">
        <v>273</v>
      </c>
      <c r="P88" s="235">
        <f t="shared" si="25"/>
        <v>563972159.99999988</v>
      </c>
      <c r="Q88" s="16"/>
    </row>
    <row r="89" spans="1:20" ht="27.75" customHeight="1" x14ac:dyDescent="0.3">
      <c r="A89" s="16"/>
      <c r="B89" s="14" t="s">
        <v>59</v>
      </c>
      <c r="C89" s="15" t="s">
        <v>33</v>
      </c>
      <c r="D89" s="26">
        <v>14.2</v>
      </c>
      <c r="E89" s="101" t="s">
        <v>181</v>
      </c>
      <c r="F89" s="26">
        <f>11%*D89</f>
        <v>1.5619999999999998</v>
      </c>
      <c r="G89" s="240">
        <f>10%*D89</f>
        <v>1.42</v>
      </c>
      <c r="H89" s="26">
        <f t="shared" si="24"/>
        <v>2.9819999999999998</v>
      </c>
      <c r="I89" s="19">
        <v>0</v>
      </c>
      <c r="J89" s="19"/>
      <c r="K89" s="19"/>
      <c r="L89" s="19"/>
      <c r="M89" s="19">
        <f t="shared" si="27"/>
        <v>0</v>
      </c>
      <c r="N89" s="35" t="s">
        <v>88</v>
      </c>
      <c r="O89" s="36" t="s">
        <v>274</v>
      </c>
      <c r="P89" s="235">
        <f t="shared" si="25"/>
        <v>236515200</v>
      </c>
      <c r="Q89" s="16"/>
      <c r="S89" s="1" t="s">
        <v>592</v>
      </c>
    </row>
    <row r="90" spans="1:20" ht="43.5" customHeight="1" x14ac:dyDescent="0.3">
      <c r="A90" s="108"/>
      <c r="B90" s="128" t="s">
        <v>61</v>
      </c>
      <c r="C90" s="126" t="s">
        <v>35</v>
      </c>
      <c r="D90" s="127">
        <v>36.72</v>
      </c>
      <c r="E90" s="142" t="s">
        <v>183</v>
      </c>
      <c r="F90" s="127">
        <f>7%*D90</f>
        <v>2.5704000000000002</v>
      </c>
      <c r="G90" s="240">
        <f>5%*D90</f>
        <v>1.8360000000000001</v>
      </c>
      <c r="H90" s="127">
        <f t="shared" si="24"/>
        <v>4.4064000000000005</v>
      </c>
      <c r="I90" s="143">
        <v>0</v>
      </c>
      <c r="J90" s="143">
        <v>0</v>
      </c>
      <c r="K90" s="143">
        <v>0</v>
      </c>
      <c r="L90" s="143">
        <v>2</v>
      </c>
      <c r="M90" s="143">
        <f t="shared" si="27"/>
        <v>2</v>
      </c>
      <c r="N90" s="157" t="s">
        <v>254</v>
      </c>
      <c r="O90" s="158" t="s">
        <v>137</v>
      </c>
      <c r="P90" s="236">
        <f t="shared" si="25"/>
        <v>305804160</v>
      </c>
      <c r="Q90" s="87"/>
      <c r="S90" s="217" t="s">
        <v>601</v>
      </c>
      <c r="T90" s="216" t="s">
        <v>602</v>
      </c>
    </row>
    <row r="91" spans="1:20" ht="17.25" customHeight="1" x14ac:dyDescent="0.3">
      <c r="A91" s="75"/>
      <c r="B91" s="136" t="s">
        <v>351</v>
      </c>
      <c r="C91" s="137"/>
      <c r="D91" s="138">
        <f>SUM(D85:D90)</f>
        <v>193.47</v>
      </c>
      <c r="E91" s="139"/>
      <c r="F91" s="138">
        <f t="shared" ref="F91:M91" si="28">SUM(F85:F90)</f>
        <v>28.277899999999999</v>
      </c>
      <c r="G91" s="140">
        <f t="shared" si="28"/>
        <v>33.814499999999995</v>
      </c>
      <c r="H91" s="138">
        <f t="shared" si="28"/>
        <v>62.092399999999998</v>
      </c>
      <c r="I91" s="140">
        <f t="shared" si="28"/>
        <v>0</v>
      </c>
      <c r="J91" s="140">
        <f t="shared" si="28"/>
        <v>0</v>
      </c>
      <c r="K91" s="140">
        <f t="shared" si="28"/>
        <v>2</v>
      </c>
      <c r="L91" s="140">
        <f t="shared" si="28"/>
        <v>18</v>
      </c>
      <c r="M91" s="140">
        <f t="shared" si="28"/>
        <v>20</v>
      </c>
      <c r="N91" s="76"/>
      <c r="O91" s="77"/>
      <c r="P91" s="237">
        <f>SUM(P85:P90)</f>
        <v>5632143120</v>
      </c>
      <c r="Q91" s="75"/>
    </row>
    <row r="92" spans="1:20" ht="13.5" customHeight="1" x14ac:dyDescent="0.3">
      <c r="A92" s="63">
        <v>7</v>
      </c>
      <c r="B92" s="8" t="s">
        <v>117</v>
      </c>
      <c r="C92" s="10"/>
      <c r="D92" s="90"/>
      <c r="E92" s="67"/>
      <c r="F92" s="66"/>
      <c r="G92" s="218"/>
      <c r="H92" s="66"/>
      <c r="I92" s="82"/>
      <c r="J92" s="82"/>
      <c r="K92" s="82"/>
      <c r="L92" s="82"/>
      <c r="M92" s="82"/>
      <c r="N92" s="69"/>
      <c r="O92" s="70"/>
      <c r="P92" s="233"/>
      <c r="Q92" s="68"/>
    </row>
    <row r="93" spans="1:20" ht="24.75" customHeight="1" x14ac:dyDescent="0.3">
      <c r="A93" s="16"/>
      <c r="B93" s="14" t="s">
        <v>57</v>
      </c>
      <c r="C93" s="15" t="s">
        <v>22</v>
      </c>
      <c r="D93" s="26">
        <v>296.95</v>
      </c>
      <c r="E93" s="101" t="s">
        <v>203</v>
      </c>
      <c r="F93" s="96">
        <f>2%*D93</f>
        <v>5.9390000000000001</v>
      </c>
      <c r="G93" s="223">
        <f>1%*D93</f>
        <v>2.9695</v>
      </c>
      <c r="H93" s="96">
        <f t="shared" ref="H93:H101" si="29">SUM(F93:G93)</f>
        <v>8.9085000000000001</v>
      </c>
      <c r="I93" s="97">
        <v>0</v>
      </c>
      <c r="J93" s="97"/>
      <c r="K93" s="97">
        <v>3</v>
      </c>
      <c r="L93" s="97">
        <v>1</v>
      </c>
      <c r="M93" s="97">
        <f>SUM(I93:L93)</f>
        <v>4</v>
      </c>
      <c r="N93" s="35"/>
      <c r="O93" s="40" t="s">
        <v>211</v>
      </c>
      <c r="P93" s="238">
        <f t="shared" ref="P93:P102" si="30">G93*0.3*30%*50000000</f>
        <v>13362750.000000002</v>
      </c>
      <c r="Q93" s="16"/>
    </row>
    <row r="94" spans="1:20" ht="15" customHeight="1" x14ac:dyDescent="0.3">
      <c r="A94" s="16"/>
      <c r="B94" s="14"/>
      <c r="C94" s="15"/>
      <c r="D94" s="26"/>
      <c r="E94" s="101" t="s">
        <v>184</v>
      </c>
      <c r="F94" s="96">
        <f>1%*D93</f>
        <v>2.9695</v>
      </c>
      <c r="G94" s="97">
        <f>20%*D93</f>
        <v>59.39</v>
      </c>
      <c r="H94" s="96">
        <f>SUM(F94:G94)</f>
        <v>62.359499999999997</v>
      </c>
      <c r="I94" s="97">
        <v>0</v>
      </c>
      <c r="J94" s="97"/>
      <c r="K94" s="97">
        <v>0</v>
      </c>
      <c r="L94" s="97">
        <v>2</v>
      </c>
      <c r="M94" s="97">
        <f>SUM(I94:L94)</f>
        <v>2</v>
      </c>
      <c r="N94" s="35"/>
      <c r="O94" s="40"/>
      <c r="P94" s="238">
        <f t="shared" si="30"/>
        <v>267254999.99999997</v>
      </c>
      <c r="Q94" s="16"/>
    </row>
    <row r="95" spans="1:20" ht="32.25" customHeight="1" x14ac:dyDescent="0.3">
      <c r="A95" s="16"/>
      <c r="B95" s="14" t="s">
        <v>58</v>
      </c>
      <c r="C95" s="15" t="s">
        <v>42</v>
      </c>
      <c r="D95" s="26">
        <v>248.5</v>
      </c>
      <c r="E95" s="101" t="s">
        <v>203</v>
      </c>
      <c r="F95" s="96">
        <f>3%*D95</f>
        <v>7.4550000000000001</v>
      </c>
      <c r="G95" s="97">
        <f>1%*D95</f>
        <v>2.4849999999999999</v>
      </c>
      <c r="H95" s="96">
        <f t="shared" si="29"/>
        <v>9.94</v>
      </c>
      <c r="I95" s="97">
        <v>0</v>
      </c>
      <c r="J95" s="97"/>
      <c r="K95" s="97">
        <v>0</v>
      </c>
      <c r="L95" s="97">
        <v>1</v>
      </c>
      <c r="M95" s="97">
        <f>SUM(I95:L95)</f>
        <v>1</v>
      </c>
      <c r="N95" s="35"/>
      <c r="O95" s="40" t="s">
        <v>137</v>
      </c>
      <c r="P95" s="238">
        <f t="shared" si="30"/>
        <v>11182500</v>
      </c>
      <c r="Q95" s="16"/>
      <c r="R95" s="1" t="s">
        <v>333</v>
      </c>
      <c r="S95" s="1" t="s">
        <v>593</v>
      </c>
    </row>
    <row r="96" spans="1:20" ht="14.25" customHeight="1" x14ac:dyDescent="0.3">
      <c r="A96" s="16"/>
      <c r="B96" s="14"/>
      <c r="C96" s="15"/>
      <c r="D96" s="26"/>
      <c r="E96" s="101" t="s">
        <v>184</v>
      </c>
      <c r="F96" s="96">
        <f>5%*D95</f>
        <v>12.425000000000001</v>
      </c>
      <c r="G96" s="97">
        <f>7%*D95</f>
        <v>17.395000000000003</v>
      </c>
      <c r="H96" s="96">
        <f>SUM(F96:G96)</f>
        <v>29.820000000000004</v>
      </c>
      <c r="I96" s="97"/>
      <c r="J96" s="97"/>
      <c r="K96" s="97"/>
      <c r="L96" s="97"/>
      <c r="M96" s="97"/>
      <c r="N96" s="35"/>
      <c r="O96" s="40"/>
      <c r="P96" s="238">
        <f t="shared" si="30"/>
        <v>78277500.000000015</v>
      </c>
      <c r="Q96" s="16"/>
      <c r="S96" s="1" t="s">
        <v>594</v>
      </c>
    </row>
    <row r="97" spans="1:19" ht="22.5" customHeight="1" x14ac:dyDescent="0.3">
      <c r="A97" s="16"/>
      <c r="B97" s="14" t="s">
        <v>59</v>
      </c>
      <c r="C97" s="15" t="s">
        <v>21</v>
      </c>
      <c r="D97" s="18">
        <v>156.94999999999999</v>
      </c>
      <c r="E97" s="101" t="s">
        <v>203</v>
      </c>
      <c r="F97" s="225">
        <f>5%*D97</f>
        <v>7.8475000000000001</v>
      </c>
      <c r="G97" s="225">
        <f>1%*D97</f>
        <v>1.5694999999999999</v>
      </c>
      <c r="H97" s="96">
        <f t="shared" si="29"/>
        <v>9.4169999999999998</v>
      </c>
      <c r="I97" s="97">
        <v>0</v>
      </c>
      <c r="J97" s="97"/>
      <c r="K97" s="97">
        <v>4</v>
      </c>
      <c r="L97" s="97">
        <v>3</v>
      </c>
      <c r="M97" s="97">
        <f>SUM(I97:L97)</f>
        <v>7</v>
      </c>
      <c r="N97" s="35"/>
      <c r="O97" s="36"/>
      <c r="P97" s="238">
        <f t="shared" si="30"/>
        <v>7062749.9999999981</v>
      </c>
      <c r="Q97" s="16"/>
      <c r="S97" s="1" t="s">
        <v>595</v>
      </c>
    </row>
    <row r="98" spans="1:19" ht="15.75" customHeight="1" x14ac:dyDescent="0.3">
      <c r="A98" s="16"/>
      <c r="B98" s="14"/>
      <c r="C98" s="15"/>
      <c r="D98" s="18"/>
      <c r="E98" s="101" t="s">
        <v>184</v>
      </c>
      <c r="F98" s="96">
        <f>5%*D97</f>
        <v>7.8475000000000001</v>
      </c>
      <c r="G98" s="97">
        <f>0.5%*D97</f>
        <v>0.78474999999999995</v>
      </c>
      <c r="H98" s="96">
        <f>SUM(F98:G98)</f>
        <v>8.6322500000000009</v>
      </c>
      <c r="I98" s="97"/>
      <c r="J98" s="97"/>
      <c r="K98" s="97"/>
      <c r="L98" s="97"/>
      <c r="M98" s="97"/>
      <c r="N98" s="35"/>
      <c r="O98" s="36"/>
      <c r="P98" s="238">
        <f t="shared" si="30"/>
        <v>3531374.9999999991</v>
      </c>
      <c r="Q98" s="16"/>
    </row>
    <row r="99" spans="1:19" ht="24" customHeight="1" x14ac:dyDescent="0.3">
      <c r="A99" s="16"/>
      <c r="B99" s="14" t="s">
        <v>60</v>
      </c>
      <c r="C99" s="15" t="s">
        <v>43</v>
      </c>
      <c r="D99" s="26">
        <v>455.8</v>
      </c>
      <c r="E99" s="101" t="s">
        <v>221</v>
      </c>
      <c r="F99" s="96">
        <f>5%*D99</f>
        <v>22.790000000000003</v>
      </c>
      <c r="G99" s="97">
        <f>1%*D99</f>
        <v>4.5579999999999998</v>
      </c>
      <c r="H99" s="96">
        <f t="shared" si="29"/>
        <v>27.348000000000003</v>
      </c>
      <c r="I99" s="97">
        <v>0</v>
      </c>
      <c r="J99" s="97"/>
      <c r="K99" s="97">
        <v>0</v>
      </c>
      <c r="L99" s="97">
        <v>2</v>
      </c>
      <c r="M99" s="97">
        <f>SUM(I99:L99)</f>
        <v>2</v>
      </c>
      <c r="N99" s="35"/>
      <c r="O99" s="36"/>
      <c r="P99" s="238">
        <f t="shared" si="30"/>
        <v>20511000</v>
      </c>
      <c r="Q99" s="16"/>
    </row>
    <row r="100" spans="1:19" ht="20.25" customHeight="1" x14ac:dyDescent="0.3">
      <c r="A100" s="16"/>
      <c r="B100" s="14"/>
      <c r="C100" s="15"/>
      <c r="D100" s="26"/>
      <c r="E100" s="101" t="s">
        <v>184</v>
      </c>
      <c r="F100" s="96">
        <f>5%*D99</f>
        <v>22.790000000000003</v>
      </c>
      <c r="G100" s="96">
        <f>1%*D99</f>
        <v>4.5579999999999998</v>
      </c>
      <c r="H100" s="96">
        <f>SUM(F100:G100)</f>
        <v>27.348000000000003</v>
      </c>
      <c r="I100" s="97"/>
      <c r="J100" s="97"/>
      <c r="K100" s="97"/>
      <c r="L100" s="97"/>
      <c r="M100" s="97"/>
      <c r="N100" s="35"/>
      <c r="O100" s="36"/>
      <c r="P100" s="238">
        <f t="shared" si="30"/>
        <v>20511000</v>
      </c>
      <c r="Q100" s="16"/>
    </row>
    <row r="101" spans="1:19" ht="23.25" customHeight="1" x14ac:dyDescent="0.3">
      <c r="A101" s="16"/>
      <c r="B101" s="14" t="s">
        <v>61</v>
      </c>
      <c r="C101" s="15" t="s">
        <v>44</v>
      </c>
      <c r="D101" s="26">
        <v>87.95</v>
      </c>
      <c r="E101" s="101" t="s">
        <v>203</v>
      </c>
      <c r="F101" s="26">
        <f>10%*D101</f>
        <v>8.7949999999999999</v>
      </c>
      <c r="G101" s="220">
        <f>0.5%*D101</f>
        <v>0.43975000000000003</v>
      </c>
      <c r="H101" s="26">
        <f t="shared" si="29"/>
        <v>9.23475</v>
      </c>
      <c r="I101" s="19">
        <v>0</v>
      </c>
      <c r="J101" s="19"/>
      <c r="K101" s="19">
        <v>4</v>
      </c>
      <c r="L101" s="19">
        <v>3</v>
      </c>
      <c r="M101" s="19">
        <f t="shared" ref="M101:M102" si="31">SUM(I101:L101)</f>
        <v>7</v>
      </c>
      <c r="N101" s="35"/>
      <c r="O101" s="36"/>
      <c r="P101" s="238">
        <f t="shared" si="30"/>
        <v>1978875</v>
      </c>
      <c r="Q101" s="16"/>
    </row>
    <row r="102" spans="1:19" ht="18.75" customHeight="1" x14ac:dyDescent="0.3">
      <c r="A102" s="87"/>
      <c r="B102" s="14"/>
      <c r="C102" s="15"/>
      <c r="D102" s="26"/>
      <c r="E102" s="101" t="s">
        <v>184</v>
      </c>
      <c r="F102" s="26"/>
      <c r="G102" s="220">
        <f>3%*D101</f>
        <v>2.6385000000000001</v>
      </c>
      <c r="H102" s="26">
        <f>SUM(F102:G102)</f>
        <v>2.6385000000000001</v>
      </c>
      <c r="I102" s="97">
        <v>0</v>
      </c>
      <c r="J102" s="97">
        <v>0</v>
      </c>
      <c r="K102" s="97">
        <v>0</v>
      </c>
      <c r="L102" s="97">
        <v>0</v>
      </c>
      <c r="M102" s="97">
        <f t="shared" si="31"/>
        <v>0</v>
      </c>
      <c r="N102" s="35"/>
      <c r="O102" s="36"/>
      <c r="P102" s="238">
        <f t="shared" si="30"/>
        <v>11873250</v>
      </c>
      <c r="Q102" s="16"/>
    </row>
    <row r="103" spans="1:19" ht="18.75" customHeight="1" x14ac:dyDescent="0.3">
      <c r="A103" s="75"/>
      <c r="B103" s="72" t="s">
        <v>350</v>
      </c>
      <c r="C103" s="72"/>
      <c r="D103" s="73">
        <f>SUM(D87:D102)</f>
        <v>1575.19</v>
      </c>
      <c r="E103" s="74"/>
      <c r="F103" s="73">
        <f>SUM(F79:F102)</f>
        <v>182.16289999999995</v>
      </c>
      <c r="G103" s="83">
        <f>SUM(G79:G102)</f>
        <v>190.221</v>
      </c>
      <c r="H103" s="73">
        <f>SUM(H79:H102)</f>
        <v>372.38390000000004</v>
      </c>
      <c r="I103" s="83">
        <f>SUM(I87:I102)</f>
        <v>0</v>
      </c>
      <c r="J103" s="83">
        <f>SUM(J87:J102)</f>
        <v>0</v>
      </c>
      <c r="K103" s="83">
        <f>SUM(K87:K102)</f>
        <v>13</v>
      </c>
      <c r="L103" s="83">
        <f>SUM(L87:L102)</f>
        <v>41</v>
      </c>
      <c r="M103" s="83">
        <f>SUM(M85:M102)</f>
        <v>63</v>
      </c>
      <c r="N103" s="76"/>
      <c r="O103" s="77"/>
      <c r="P103" s="184">
        <f>SUM(P92:P102)</f>
        <v>435546000</v>
      </c>
      <c r="Q103" s="75"/>
    </row>
    <row r="104" spans="1:19" ht="4.5" customHeight="1" x14ac:dyDescent="0.3">
      <c r="F104" s="2"/>
      <c r="G104" s="2"/>
      <c r="H104" s="2"/>
      <c r="I104" s="2"/>
      <c r="J104" s="2"/>
      <c r="K104" s="2"/>
      <c r="L104" s="2"/>
      <c r="M104" s="2"/>
    </row>
    <row r="105" spans="1:19" ht="14.25" customHeight="1" x14ac:dyDescent="0.3">
      <c r="F105" s="2"/>
      <c r="G105" s="2"/>
      <c r="H105" s="2"/>
      <c r="I105" s="2"/>
      <c r="J105" s="2" t="s">
        <v>639</v>
      </c>
      <c r="K105" s="2"/>
      <c r="L105" s="2"/>
      <c r="M105" s="2"/>
    </row>
    <row r="106" spans="1:19" ht="12" customHeight="1" x14ac:dyDescent="0.3">
      <c r="A106" s="395" t="s">
        <v>80</v>
      </c>
      <c r="B106" s="395"/>
      <c r="C106" s="395"/>
      <c r="D106" s="395"/>
    </row>
    <row r="107" spans="1:19" x14ac:dyDescent="0.3">
      <c r="A107" s="395" t="s">
        <v>81</v>
      </c>
      <c r="B107" s="395"/>
      <c r="C107" s="395"/>
      <c r="D107" s="395"/>
      <c r="J107" s="1" t="s">
        <v>85</v>
      </c>
    </row>
    <row r="108" spans="1:19" x14ac:dyDescent="0.3">
      <c r="A108" s="395" t="s">
        <v>82</v>
      </c>
      <c r="B108" s="395"/>
      <c r="C108" s="395"/>
      <c r="D108" s="395"/>
      <c r="J108" s="3" t="s">
        <v>86</v>
      </c>
      <c r="K108" s="1" t="s">
        <v>87</v>
      </c>
      <c r="O108" s="1" t="s">
        <v>90</v>
      </c>
    </row>
    <row r="109" spans="1:19" x14ac:dyDescent="0.3">
      <c r="A109" s="395" t="s">
        <v>83</v>
      </c>
      <c r="B109" s="395"/>
      <c r="C109" s="395"/>
      <c r="D109" s="395"/>
      <c r="K109" s="1" t="s">
        <v>91</v>
      </c>
    </row>
    <row r="110" spans="1:19" ht="9.75" customHeight="1" x14ac:dyDescent="0.3"/>
    <row r="111" spans="1:19" x14ac:dyDescent="0.3">
      <c r="J111" s="3" t="s">
        <v>88</v>
      </c>
      <c r="K111" s="1" t="s">
        <v>89</v>
      </c>
      <c r="O111" s="1" t="s">
        <v>90</v>
      </c>
    </row>
    <row r="112" spans="1:19" x14ac:dyDescent="0.3">
      <c r="K112" s="1" t="s">
        <v>92</v>
      </c>
    </row>
    <row r="113" spans="1:15" ht="13.5" customHeight="1" x14ac:dyDescent="0.3">
      <c r="A113" s="398" t="s">
        <v>175</v>
      </c>
      <c r="B113" s="398"/>
      <c r="C113" s="398"/>
      <c r="D113" s="398"/>
    </row>
    <row r="114" spans="1:15" x14ac:dyDescent="0.3">
      <c r="A114" s="395" t="s">
        <v>190</v>
      </c>
      <c r="B114" s="395"/>
      <c r="C114" s="395"/>
      <c r="D114" s="395"/>
      <c r="J114" s="1" t="s">
        <v>254</v>
      </c>
      <c r="K114" s="1" t="s">
        <v>255</v>
      </c>
      <c r="O114" s="1" t="s">
        <v>90</v>
      </c>
    </row>
    <row r="115" spans="1:15" x14ac:dyDescent="0.3">
      <c r="K115" s="1" t="s">
        <v>256</v>
      </c>
    </row>
  </sheetData>
  <mergeCells count="24">
    <mergeCell ref="A109:D109"/>
    <mergeCell ref="A113:D113"/>
    <mergeCell ref="A114:D114"/>
    <mergeCell ref="B24:C24"/>
    <mergeCell ref="O26:O29"/>
    <mergeCell ref="B30:C30"/>
    <mergeCell ref="A107:D107"/>
    <mergeCell ref="A108:D108"/>
    <mergeCell ref="A106:D106"/>
    <mergeCell ref="O32:O38"/>
    <mergeCell ref="O40:O51"/>
    <mergeCell ref="O53:O58"/>
    <mergeCell ref="A1:Q1"/>
    <mergeCell ref="A2:Q2"/>
    <mergeCell ref="A6:A7"/>
    <mergeCell ref="B6:C6"/>
    <mergeCell ref="D6:D7"/>
    <mergeCell ref="E6:E7"/>
    <mergeCell ref="F6:H6"/>
    <mergeCell ref="I6:M6"/>
    <mergeCell ref="N6:O7"/>
    <mergeCell ref="P6:P7"/>
    <mergeCell ref="Q6:Q7"/>
    <mergeCell ref="B7:C7"/>
  </mergeCells>
  <pageMargins left="0.70866141732283472" right="0.70866141732283472" top="0.74803149606299213" bottom="0.74803149606299213" header="0.31496062992125984" footer="0.31496062992125984"/>
  <pageSetup paperSize="5" scale="90" orientation="landscape" horizontalDpi="4294967293"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T120"/>
  <sheetViews>
    <sheetView view="pageBreakPreview" topLeftCell="A87" zoomScale="96" zoomScaleNormal="100" zoomScaleSheetLayoutView="96" workbookViewId="0">
      <selection activeCell="E96" sqref="E96"/>
    </sheetView>
  </sheetViews>
  <sheetFormatPr defaultColWidth="9.1796875" defaultRowHeight="14" x14ac:dyDescent="0.3"/>
  <cols>
    <col min="1" max="1" width="4.81640625" style="1" customWidth="1"/>
    <col min="2" max="2" width="2.1796875" style="1" customWidth="1"/>
    <col min="3" max="3" width="16.26953125" style="1" customWidth="1"/>
    <col min="4" max="4" width="12" style="1" customWidth="1"/>
    <col min="5" max="5" width="30.54296875" style="1" customWidth="1"/>
    <col min="6" max="6" width="11" style="1" bestFit="1" customWidth="1"/>
    <col min="7" max="7" width="8.81640625" style="1" customWidth="1"/>
    <col min="8" max="8" width="9" style="1" customWidth="1"/>
    <col min="9" max="9" width="6.7265625" style="1" customWidth="1"/>
    <col min="10" max="10" width="7" style="1" customWidth="1"/>
    <col min="11" max="12" width="7.54296875" style="1" customWidth="1"/>
    <col min="13" max="13" width="6.81640625" style="1" bestFit="1" customWidth="1"/>
    <col min="14" max="14" width="2" style="1" customWidth="1"/>
    <col min="15" max="15" width="17" style="1" customWidth="1"/>
    <col min="16" max="16" width="12.26953125" style="1" customWidth="1"/>
    <col min="17" max="17" width="8.81640625" style="1" customWidth="1"/>
    <col min="18" max="19" width="9.1796875" style="1"/>
    <col min="20" max="20" width="10.7265625" style="1" customWidth="1"/>
    <col min="21" max="16384" width="9.1796875" style="1"/>
  </cols>
  <sheetData>
    <row r="1" spans="1:20" x14ac:dyDescent="0.3">
      <c r="A1" s="385" t="s">
        <v>260</v>
      </c>
      <c r="B1" s="385"/>
      <c r="C1" s="385"/>
      <c r="D1" s="385"/>
      <c r="E1" s="385"/>
      <c r="F1" s="385"/>
      <c r="G1" s="385"/>
      <c r="H1" s="385"/>
      <c r="I1" s="385"/>
      <c r="J1" s="385"/>
      <c r="K1" s="385"/>
      <c r="L1" s="385"/>
      <c r="M1" s="385"/>
      <c r="N1" s="385"/>
      <c r="O1" s="385"/>
      <c r="P1" s="385"/>
      <c r="Q1" s="385"/>
    </row>
    <row r="2" spans="1:20" ht="14.25" customHeight="1" x14ac:dyDescent="0.3">
      <c r="A2" s="385" t="s">
        <v>646</v>
      </c>
      <c r="B2" s="385"/>
      <c r="C2" s="385"/>
      <c r="D2" s="385"/>
      <c r="E2" s="385"/>
      <c r="F2" s="385"/>
      <c r="G2" s="385"/>
      <c r="H2" s="385"/>
      <c r="I2" s="385"/>
      <c r="J2" s="385"/>
      <c r="K2" s="385"/>
      <c r="L2" s="385"/>
      <c r="M2" s="385"/>
      <c r="N2" s="385"/>
      <c r="O2" s="385"/>
      <c r="P2" s="385"/>
      <c r="Q2" s="385"/>
    </row>
    <row r="3" spans="1:20" ht="14.25" customHeight="1" x14ac:dyDescent="0.3">
      <c r="A3" s="1" t="s">
        <v>1</v>
      </c>
      <c r="C3" s="1" t="s">
        <v>603</v>
      </c>
    </row>
    <row r="4" spans="1:20" ht="14.25" customHeight="1" x14ac:dyDescent="0.3">
      <c r="A4" s="1" t="s">
        <v>2</v>
      </c>
      <c r="C4" s="1" t="s">
        <v>647</v>
      </c>
      <c r="D4" s="4"/>
    </row>
    <row r="5" spans="1:20" ht="6" customHeight="1" x14ac:dyDescent="0.3"/>
    <row r="6" spans="1:20" x14ac:dyDescent="0.3">
      <c r="A6" s="386" t="s">
        <v>3</v>
      </c>
      <c r="B6" s="388" t="s">
        <v>4</v>
      </c>
      <c r="C6" s="388"/>
      <c r="D6" s="391" t="s">
        <v>259</v>
      </c>
      <c r="E6" s="391" t="s">
        <v>7</v>
      </c>
      <c r="F6" s="393" t="s">
        <v>170</v>
      </c>
      <c r="G6" s="393"/>
      <c r="H6" s="393"/>
      <c r="I6" s="393" t="s">
        <v>12</v>
      </c>
      <c r="J6" s="393"/>
      <c r="K6" s="393"/>
      <c r="L6" s="393"/>
      <c r="M6" s="393"/>
      <c r="N6" s="391" t="s">
        <v>17</v>
      </c>
      <c r="O6" s="391"/>
      <c r="P6" s="391" t="s">
        <v>258</v>
      </c>
      <c r="Q6" s="386" t="s">
        <v>192</v>
      </c>
    </row>
    <row r="7" spans="1:20" ht="28.5" customHeight="1" x14ac:dyDescent="0.3">
      <c r="A7" s="387"/>
      <c r="B7" s="394" t="s">
        <v>5</v>
      </c>
      <c r="C7" s="394"/>
      <c r="D7" s="392"/>
      <c r="E7" s="392"/>
      <c r="F7" s="147" t="s">
        <v>9</v>
      </c>
      <c r="G7" s="147" t="s">
        <v>10</v>
      </c>
      <c r="H7" s="147" t="s">
        <v>11</v>
      </c>
      <c r="I7" s="147" t="s">
        <v>16</v>
      </c>
      <c r="J7" s="147" t="s">
        <v>13</v>
      </c>
      <c r="K7" s="147" t="s">
        <v>14</v>
      </c>
      <c r="L7" s="148" t="s">
        <v>257</v>
      </c>
      <c r="M7" s="147" t="s">
        <v>11</v>
      </c>
      <c r="N7" s="392"/>
      <c r="O7" s="392"/>
      <c r="P7" s="392"/>
      <c r="Q7" s="387"/>
    </row>
    <row r="8" spans="1:20" ht="9" customHeight="1" x14ac:dyDescent="0.3">
      <c r="A8" s="5"/>
      <c r="B8" s="8"/>
      <c r="C8" s="10"/>
      <c r="D8" s="5"/>
      <c r="E8" s="5"/>
      <c r="F8" s="5"/>
      <c r="G8" s="5"/>
      <c r="H8" s="5"/>
      <c r="I8" s="5"/>
      <c r="J8" s="5"/>
      <c r="K8" s="5"/>
      <c r="L8" s="5"/>
      <c r="M8" s="5"/>
      <c r="N8" s="8"/>
      <c r="O8" s="10"/>
      <c r="P8" s="10"/>
      <c r="Q8" s="5"/>
    </row>
    <row r="9" spans="1:20" ht="17.25" customHeight="1" x14ac:dyDescent="0.3">
      <c r="A9" s="13">
        <v>1</v>
      </c>
      <c r="B9" s="14" t="s">
        <v>20</v>
      </c>
      <c r="C9" s="15"/>
      <c r="D9" s="16"/>
      <c r="E9" s="47"/>
      <c r="F9" s="16"/>
      <c r="G9" s="16"/>
      <c r="H9" s="16"/>
      <c r="I9" s="16"/>
      <c r="J9" s="16"/>
      <c r="K9" s="16"/>
      <c r="L9" s="16"/>
      <c r="M9" s="16"/>
      <c r="N9" s="35"/>
      <c r="O9" s="36"/>
      <c r="P9" s="226"/>
      <c r="Q9" s="16"/>
    </row>
    <row r="10" spans="1:20" ht="28.5" customHeight="1" x14ac:dyDescent="0.3">
      <c r="A10" s="13"/>
      <c r="B10" s="17" t="s">
        <v>57</v>
      </c>
      <c r="C10" s="15" t="s">
        <v>21</v>
      </c>
      <c r="D10" s="18">
        <v>430.06</v>
      </c>
      <c r="E10" s="49" t="s">
        <v>649</v>
      </c>
      <c r="F10" s="26">
        <f>1%*D10</f>
        <v>4.3006000000000002</v>
      </c>
      <c r="G10" s="26">
        <f>0.8%*D10</f>
        <v>3.44048</v>
      </c>
      <c r="H10" s="26">
        <f>SUM(F10:G10)</f>
        <v>7.7410800000000002</v>
      </c>
      <c r="I10" s="19">
        <v>0</v>
      </c>
      <c r="J10" s="19"/>
      <c r="K10" s="19">
        <v>3</v>
      </c>
      <c r="L10" s="19">
        <v>4</v>
      </c>
      <c r="M10" s="20">
        <f>SUM(I10:L10)</f>
        <v>7</v>
      </c>
      <c r="N10" s="37"/>
      <c r="O10" s="36"/>
      <c r="P10" s="227">
        <f t="shared" ref="P10:P23" si="0">G10*0.261*12%*0</f>
        <v>0</v>
      </c>
      <c r="Q10" s="16"/>
      <c r="S10" s="1" t="s">
        <v>333</v>
      </c>
      <c r="T10" s="1" t="s">
        <v>341</v>
      </c>
    </row>
    <row r="11" spans="1:20" ht="18.75" customHeight="1" x14ac:dyDescent="0.3">
      <c r="A11" s="13"/>
      <c r="B11" s="14"/>
      <c r="C11" s="15"/>
      <c r="D11" s="18"/>
      <c r="E11" s="47" t="s">
        <v>37</v>
      </c>
      <c r="F11" s="26">
        <f>3%*D10</f>
        <v>12.9018</v>
      </c>
      <c r="G11" s="26">
        <f>0.4%*D10</f>
        <v>1.72024</v>
      </c>
      <c r="H11" s="26">
        <f>SUM(F11:G11)</f>
        <v>14.62204</v>
      </c>
      <c r="I11" s="19">
        <v>0</v>
      </c>
      <c r="J11" s="19"/>
      <c r="K11" s="19"/>
      <c r="L11" s="19">
        <v>3</v>
      </c>
      <c r="M11" s="20">
        <f t="shared" ref="M11:M23" si="1">SUM(I11:L11)</f>
        <v>3</v>
      </c>
      <c r="N11" s="37" t="s">
        <v>51</v>
      </c>
      <c r="O11" s="38" t="s">
        <v>50</v>
      </c>
      <c r="P11" s="227">
        <f t="shared" si="0"/>
        <v>0</v>
      </c>
      <c r="Q11" s="16"/>
    </row>
    <row r="12" spans="1:20" ht="18.75" customHeight="1" x14ac:dyDescent="0.3">
      <c r="A12" s="13"/>
      <c r="B12" s="14"/>
      <c r="C12" s="15"/>
      <c r="D12" s="18"/>
      <c r="E12" s="47" t="s">
        <v>38</v>
      </c>
      <c r="F12" s="26">
        <f>0.5%*D10</f>
        <v>2.1503000000000001</v>
      </c>
      <c r="G12" s="26">
        <f>5%*D10</f>
        <v>21.503</v>
      </c>
      <c r="H12" s="26">
        <f>SUM(F12:G12)</f>
        <v>23.653300000000002</v>
      </c>
      <c r="I12" s="19">
        <v>0</v>
      </c>
      <c r="J12" s="19"/>
      <c r="K12" s="19">
        <v>3</v>
      </c>
      <c r="L12" s="19">
        <v>4</v>
      </c>
      <c r="M12" s="20">
        <f t="shared" si="1"/>
        <v>7</v>
      </c>
      <c r="N12" s="37" t="s">
        <v>51</v>
      </c>
      <c r="O12" s="36" t="s">
        <v>632</v>
      </c>
      <c r="P12" s="227">
        <f t="shared" si="0"/>
        <v>0</v>
      </c>
      <c r="Q12" s="16"/>
      <c r="S12" s="1" t="s">
        <v>343</v>
      </c>
    </row>
    <row r="13" spans="1:20" ht="21.75" customHeight="1" x14ac:dyDescent="0.3">
      <c r="A13" s="13"/>
      <c r="B13" s="14"/>
      <c r="C13" s="15"/>
      <c r="D13" s="18"/>
      <c r="E13" s="48" t="s">
        <v>39</v>
      </c>
      <c r="F13" s="96">
        <f>8%*D10</f>
        <v>34.404800000000002</v>
      </c>
      <c r="G13" s="96">
        <f>4%*D10</f>
        <v>17.202400000000001</v>
      </c>
      <c r="H13" s="96">
        <f>SUM(F13:G13)</f>
        <v>51.607200000000006</v>
      </c>
      <c r="I13" s="97">
        <v>0</v>
      </c>
      <c r="J13" s="97">
        <v>0</v>
      </c>
      <c r="K13" s="97">
        <v>0</v>
      </c>
      <c r="L13" s="97">
        <v>3</v>
      </c>
      <c r="M13" s="121">
        <f t="shared" si="1"/>
        <v>3</v>
      </c>
      <c r="N13" s="39" t="s">
        <v>51</v>
      </c>
      <c r="O13" s="40" t="s">
        <v>48</v>
      </c>
      <c r="P13" s="227">
        <f t="shared" si="0"/>
        <v>0</v>
      </c>
      <c r="Q13" s="16"/>
      <c r="S13" s="1" t="s">
        <v>342</v>
      </c>
    </row>
    <row r="14" spans="1:20" ht="18.75" customHeight="1" x14ac:dyDescent="0.3">
      <c r="A14" s="13"/>
      <c r="B14" s="17" t="s">
        <v>58</v>
      </c>
      <c r="C14" s="15" t="s">
        <v>22</v>
      </c>
      <c r="D14" s="18">
        <v>856.82</v>
      </c>
      <c r="E14" s="47" t="s">
        <v>36</v>
      </c>
      <c r="F14" s="26">
        <f>3%*D14</f>
        <v>25.704599999999999</v>
      </c>
      <c r="G14" s="26">
        <f>7%*D14</f>
        <v>59.97740000000001</v>
      </c>
      <c r="H14" s="26">
        <f>SUM(F14:G14)</f>
        <v>85.682000000000016</v>
      </c>
      <c r="I14" s="19">
        <v>0</v>
      </c>
      <c r="J14" s="19"/>
      <c r="K14" s="19">
        <v>5</v>
      </c>
      <c r="L14" s="19">
        <v>5</v>
      </c>
      <c r="M14" s="20">
        <f t="shared" si="1"/>
        <v>10</v>
      </c>
      <c r="N14" s="35" t="s">
        <v>51</v>
      </c>
      <c r="O14" s="41" t="s">
        <v>137</v>
      </c>
      <c r="P14" s="227">
        <f t="shared" si="0"/>
        <v>0</v>
      </c>
      <c r="Q14" s="16"/>
    </row>
    <row r="15" spans="1:20" ht="18.75" customHeight="1" x14ac:dyDescent="0.3">
      <c r="A15" s="13"/>
      <c r="B15" s="14"/>
      <c r="C15" s="15"/>
      <c r="D15" s="26"/>
      <c r="E15" s="47" t="s">
        <v>37</v>
      </c>
      <c r="F15" s="26">
        <f>3%*D14</f>
        <v>25.704599999999999</v>
      </c>
      <c r="G15" s="26">
        <f>2%*D14</f>
        <v>17.136400000000002</v>
      </c>
      <c r="H15" s="26">
        <f t="shared" ref="H15:H17" si="2">SUM(F15:G15)</f>
        <v>42.841000000000001</v>
      </c>
      <c r="I15" s="19">
        <v>0</v>
      </c>
      <c r="J15" s="19"/>
      <c r="K15" s="19">
        <v>5</v>
      </c>
      <c r="L15" s="19">
        <v>5</v>
      </c>
      <c r="M15" s="20">
        <f t="shared" si="1"/>
        <v>10</v>
      </c>
      <c r="N15" s="35"/>
      <c r="O15" s="36"/>
      <c r="P15" s="227">
        <f t="shared" si="0"/>
        <v>0</v>
      </c>
      <c r="Q15" s="16"/>
      <c r="S15" s="1" t="s">
        <v>344</v>
      </c>
    </row>
    <row r="16" spans="1:20" ht="18.75" customHeight="1" x14ac:dyDescent="0.3">
      <c r="A16" s="13"/>
      <c r="B16" s="14"/>
      <c r="C16" s="15"/>
      <c r="D16" s="26"/>
      <c r="E16" s="47" t="s">
        <v>38</v>
      </c>
      <c r="F16" s="26">
        <f>2.5%*D14</f>
        <v>21.420500000000004</v>
      </c>
      <c r="G16" s="26">
        <f>3%*D14</f>
        <v>25.704599999999999</v>
      </c>
      <c r="H16" s="26">
        <f t="shared" si="2"/>
        <v>47.125100000000003</v>
      </c>
      <c r="I16" s="19">
        <v>0</v>
      </c>
      <c r="J16" s="19"/>
      <c r="K16" s="19">
        <v>5</v>
      </c>
      <c r="L16" s="19">
        <v>3</v>
      </c>
      <c r="M16" s="20">
        <f t="shared" si="1"/>
        <v>8</v>
      </c>
      <c r="N16" s="35"/>
      <c r="O16" s="36"/>
      <c r="P16" s="227">
        <f t="shared" si="0"/>
        <v>0</v>
      </c>
      <c r="Q16" s="16"/>
      <c r="S16" s="1" t="s">
        <v>345</v>
      </c>
    </row>
    <row r="17" spans="1:19" ht="21" customHeight="1" x14ac:dyDescent="0.3">
      <c r="A17" s="54"/>
      <c r="B17" s="55"/>
      <c r="C17" s="56"/>
      <c r="D17" s="57"/>
      <c r="E17" s="58" t="s">
        <v>39</v>
      </c>
      <c r="F17" s="119">
        <f>4%*D14</f>
        <v>34.272800000000004</v>
      </c>
      <c r="G17" s="119">
        <f>3%*D14</f>
        <v>25.704599999999999</v>
      </c>
      <c r="H17" s="119">
        <f t="shared" si="2"/>
        <v>59.977400000000003</v>
      </c>
      <c r="I17" s="59">
        <v>0</v>
      </c>
      <c r="J17" s="59">
        <v>0</v>
      </c>
      <c r="K17" s="59">
        <v>0</v>
      </c>
      <c r="L17" s="59">
        <v>4</v>
      </c>
      <c r="M17" s="60">
        <f t="shared" si="1"/>
        <v>4</v>
      </c>
      <c r="N17" s="42"/>
      <c r="O17" s="38"/>
      <c r="P17" s="228">
        <f t="shared" si="0"/>
        <v>0</v>
      </c>
      <c r="Q17" s="29"/>
    </row>
    <row r="18" spans="1:19" ht="18.75" customHeight="1" x14ac:dyDescent="0.3">
      <c r="A18" s="54"/>
      <c r="B18" s="55" t="s">
        <v>59</v>
      </c>
      <c r="C18" s="56" t="s">
        <v>27</v>
      </c>
      <c r="D18" s="18">
        <v>113.45</v>
      </c>
      <c r="E18" s="47" t="s">
        <v>36</v>
      </c>
      <c r="F18" s="26">
        <f>25%*D18</f>
        <v>28.362500000000001</v>
      </c>
      <c r="G18" s="26">
        <f>4%*F18</f>
        <v>1.1345000000000001</v>
      </c>
      <c r="H18" s="26">
        <f>SUM(F18:G18)</f>
        <v>29.497</v>
      </c>
      <c r="I18" s="19">
        <v>0</v>
      </c>
      <c r="J18" s="19"/>
      <c r="K18" s="19">
        <v>2</v>
      </c>
      <c r="L18" s="19"/>
      <c r="M18" s="20">
        <f t="shared" si="1"/>
        <v>2</v>
      </c>
      <c r="N18" s="42"/>
      <c r="O18" s="38"/>
      <c r="P18" s="227">
        <f t="shared" si="0"/>
        <v>0</v>
      </c>
      <c r="Q18" s="29"/>
    </row>
    <row r="19" spans="1:19" ht="19.5" customHeight="1" x14ac:dyDescent="0.3">
      <c r="A19" s="54"/>
      <c r="B19" s="55"/>
      <c r="C19" s="56"/>
      <c r="D19" s="26"/>
      <c r="E19" s="47" t="s">
        <v>37</v>
      </c>
      <c r="F19" s="26">
        <f>2%*D18</f>
        <v>2.2690000000000001</v>
      </c>
      <c r="G19" s="26">
        <f>3%*D18</f>
        <v>3.4034999999999997</v>
      </c>
      <c r="H19" s="26">
        <f t="shared" ref="H19:H20" si="3">SUM(F19:G19)</f>
        <v>5.6724999999999994</v>
      </c>
      <c r="I19" s="19">
        <v>0</v>
      </c>
      <c r="J19" s="19"/>
      <c r="K19" s="19">
        <v>2</v>
      </c>
      <c r="L19" s="19">
        <v>1</v>
      </c>
      <c r="M19" s="20">
        <f t="shared" si="1"/>
        <v>3</v>
      </c>
      <c r="N19" s="42"/>
      <c r="O19" s="38"/>
      <c r="P19" s="227">
        <f t="shared" si="0"/>
        <v>0</v>
      </c>
      <c r="Q19" s="29"/>
    </row>
    <row r="20" spans="1:19" ht="17.25" customHeight="1" x14ac:dyDescent="0.3">
      <c r="A20" s="54"/>
      <c r="B20" s="55"/>
      <c r="C20" s="56"/>
      <c r="D20" s="26"/>
      <c r="E20" s="47" t="s">
        <v>38</v>
      </c>
      <c r="F20" s="26">
        <f>1%*D18</f>
        <v>1.1345000000000001</v>
      </c>
      <c r="G20" s="26">
        <f>4%*D18</f>
        <v>4.5380000000000003</v>
      </c>
      <c r="H20" s="26">
        <f t="shared" si="3"/>
        <v>5.6725000000000003</v>
      </c>
      <c r="I20" s="19">
        <v>0</v>
      </c>
      <c r="J20" s="19"/>
      <c r="K20" s="19">
        <v>4</v>
      </c>
      <c r="L20" s="19">
        <v>1</v>
      </c>
      <c r="M20" s="20">
        <f t="shared" si="1"/>
        <v>5</v>
      </c>
      <c r="N20" s="42"/>
      <c r="O20" s="38"/>
      <c r="P20" s="227">
        <f t="shared" si="0"/>
        <v>0</v>
      </c>
      <c r="Q20" s="29"/>
    </row>
    <row r="21" spans="1:19" ht="21.75" customHeight="1" x14ac:dyDescent="0.3">
      <c r="A21" s="13"/>
      <c r="B21" s="17" t="s">
        <v>60</v>
      </c>
      <c r="C21" s="15" t="s">
        <v>42</v>
      </c>
      <c r="D21" s="18">
        <v>527.28</v>
      </c>
      <c r="E21" s="47" t="s">
        <v>36</v>
      </c>
      <c r="F21" s="26">
        <f>35%*D18</f>
        <v>39.707499999999996</v>
      </c>
      <c r="G21" s="26">
        <f>3%*D21</f>
        <v>15.818399999999999</v>
      </c>
      <c r="H21" s="26">
        <f>SUM(F21:G21)</f>
        <v>55.525899999999993</v>
      </c>
      <c r="I21" s="19">
        <v>0</v>
      </c>
      <c r="J21" s="19"/>
      <c r="K21" s="19"/>
      <c r="L21" s="19">
        <v>4</v>
      </c>
      <c r="M21" s="20">
        <f t="shared" si="1"/>
        <v>4</v>
      </c>
      <c r="N21" s="35"/>
      <c r="O21" s="36"/>
      <c r="P21" s="227">
        <f t="shared" si="0"/>
        <v>0</v>
      </c>
      <c r="Q21" s="29"/>
    </row>
    <row r="22" spans="1:19" ht="18.75" customHeight="1" x14ac:dyDescent="0.3">
      <c r="A22" s="13"/>
      <c r="B22" s="14"/>
      <c r="C22" s="15"/>
      <c r="D22" s="26"/>
      <c r="E22" s="47" t="s">
        <v>37</v>
      </c>
      <c r="F22" s="26">
        <f>36%*D21</f>
        <v>189.82079999999999</v>
      </c>
      <c r="G22" s="26">
        <f>3%*D21</f>
        <v>15.818399999999999</v>
      </c>
      <c r="H22" s="26">
        <f t="shared" ref="H22:H23" si="4">SUM(F22:G22)</f>
        <v>205.63919999999999</v>
      </c>
      <c r="I22" s="19">
        <v>0</v>
      </c>
      <c r="J22" s="19"/>
      <c r="K22" s="19"/>
      <c r="L22" s="19">
        <v>4</v>
      </c>
      <c r="M22" s="20">
        <f t="shared" si="1"/>
        <v>4</v>
      </c>
      <c r="N22" s="35"/>
      <c r="O22" s="36"/>
      <c r="P22" s="227">
        <f t="shared" si="0"/>
        <v>0</v>
      </c>
      <c r="Q22" s="29"/>
    </row>
    <row r="23" spans="1:19" ht="18" customHeight="1" x14ac:dyDescent="0.3">
      <c r="A23" s="13"/>
      <c r="B23" s="14"/>
      <c r="C23" s="15"/>
      <c r="D23" s="26"/>
      <c r="E23" s="47" t="s">
        <v>38</v>
      </c>
      <c r="F23" s="26">
        <f>0.5%*D21</f>
        <v>2.6364000000000001</v>
      </c>
      <c r="G23" s="26">
        <f>8%*D21</f>
        <v>42.182400000000001</v>
      </c>
      <c r="H23" s="26">
        <f t="shared" si="4"/>
        <v>44.818800000000003</v>
      </c>
      <c r="I23" s="19">
        <v>0</v>
      </c>
      <c r="J23" s="19"/>
      <c r="K23" s="19"/>
      <c r="L23" s="19">
        <v>3</v>
      </c>
      <c r="M23" s="20">
        <f t="shared" si="1"/>
        <v>3</v>
      </c>
      <c r="N23" s="80"/>
      <c r="O23" s="81"/>
      <c r="P23" s="227">
        <f t="shared" si="0"/>
        <v>0</v>
      </c>
      <c r="Q23" s="88"/>
    </row>
    <row r="24" spans="1:19" ht="24" customHeight="1" x14ac:dyDescent="0.3">
      <c r="A24" s="89"/>
      <c r="B24" s="402" t="s">
        <v>325</v>
      </c>
      <c r="C24" s="403"/>
      <c r="D24" s="73">
        <f>SUM(D9:D17)</f>
        <v>1286.8800000000001</v>
      </c>
      <c r="E24" s="74"/>
      <c r="F24" s="118">
        <f>SUM(F9:F17)</f>
        <v>160.86000000000001</v>
      </c>
      <c r="G24" s="118">
        <f>SUM(G9:G17)</f>
        <v>172.38912000000002</v>
      </c>
      <c r="H24" s="118">
        <f>SUM(H9:H17)</f>
        <v>333.24912000000006</v>
      </c>
      <c r="I24" s="75">
        <f>SUM(I9:I17)</f>
        <v>0</v>
      </c>
      <c r="J24" s="75">
        <f>SUM(J9:J17)</f>
        <v>0</v>
      </c>
      <c r="K24" s="75">
        <f>SUM(K8:K23)</f>
        <v>29</v>
      </c>
      <c r="L24" s="160">
        <f>SUM(L10:L23)</f>
        <v>44</v>
      </c>
      <c r="M24" s="75">
        <f>SUM(M9:M17)</f>
        <v>52</v>
      </c>
      <c r="N24" s="76"/>
      <c r="O24" s="77"/>
      <c r="P24" s="229">
        <f>SUM(P10:P23)</f>
        <v>0</v>
      </c>
      <c r="Q24" s="75"/>
    </row>
    <row r="25" spans="1:19" ht="17.25" customHeight="1" x14ac:dyDescent="0.3">
      <c r="A25" s="63">
        <v>2</v>
      </c>
      <c r="B25" s="64" t="s">
        <v>23</v>
      </c>
      <c r="C25" s="65"/>
      <c r="D25" s="66"/>
      <c r="E25" s="67"/>
      <c r="F25" s="68"/>
      <c r="G25" s="68"/>
      <c r="H25" s="68"/>
      <c r="I25" s="68"/>
      <c r="J25" s="68"/>
      <c r="K25" s="68"/>
      <c r="L25" s="68"/>
      <c r="M25" s="68"/>
      <c r="N25" s="69"/>
      <c r="O25" s="70"/>
      <c r="P25" s="230"/>
      <c r="Q25" s="68"/>
    </row>
    <row r="26" spans="1:19" ht="18.75" customHeight="1" x14ac:dyDescent="0.3">
      <c r="A26" s="13"/>
      <c r="B26" s="14" t="s">
        <v>57</v>
      </c>
      <c r="C26" s="15" t="s">
        <v>22</v>
      </c>
      <c r="D26" s="26">
        <v>203.28</v>
      </c>
      <c r="E26" s="47" t="s">
        <v>629</v>
      </c>
      <c r="F26" s="19">
        <f>26%*D26</f>
        <v>52.852800000000002</v>
      </c>
      <c r="G26" s="224">
        <f>2%*D26</f>
        <v>4.0655999999999999</v>
      </c>
      <c r="H26" s="19">
        <f t="shared" ref="H26" si="5">SUM(F26:G26)</f>
        <v>56.918400000000005</v>
      </c>
      <c r="I26" s="19">
        <v>0</v>
      </c>
      <c r="J26" s="19">
        <v>0</v>
      </c>
      <c r="K26" s="19">
        <v>0</v>
      </c>
      <c r="L26" s="19">
        <v>2</v>
      </c>
      <c r="M26" s="20">
        <f t="shared" ref="M26:M29" si="6">SUM(I26:L26)</f>
        <v>2</v>
      </c>
      <c r="N26" s="37" t="s">
        <v>51</v>
      </c>
      <c r="O26" s="404" t="s">
        <v>633</v>
      </c>
      <c r="P26" s="231">
        <f>G26*0.52*20%*0</f>
        <v>0</v>
      </c>
      <c r="Q26" s="16"/>
    </row>
    <row r="27" spans="1:19" ht="24.75" customHeight="1" x14ac:dyDescent="0.3">
      <c r="A27" s="54"/>
      <c r="B27" s="55" t="s">
        <v>58</v>
      </c>
      <c r="C27" s="56" t="s">
        <v>42</v>
      </c>
      <c r="D27" s="57">
        <v>57</v>
      </c>
      <c r="E27" s="47" t="s">
        <v>629</v>
      </c>
      <c r="F27" s="19">
        <f>12%*D27</f>
        <v>6.84</v>
      </c>
      <c r="G27" s="224">
        <f>1.2%*D26</f>
        <v>2.4393600000000002</v>
      </c>
      <c r="H27" s="19">
        <f t="shared" ref="H27" si="7">SUM(F27:G27)</f>
        <v>9.2793600000000005</v>
      </c>
      <c r="I27" s="19">
        <v>0</v>
      </c>
      <c r="J27" s="19"/>
      <c r="K27" s="19">
        <v>0</v>
      </c>
      <c r="L27" s="19">
        <v>0</v>
      </c>
      <c r="M27" s="20">
        <f t="shared" si="6"/>
        <v>0</v>
      </c>
      <c r="N27" s="37"/>
      <c r="O27" s="404"/>
      <c r="P27" s="231">
        <f>G27*0.52*20%*0</f>
        <v>0</v>
      </c>
      <c r="Q27" s="16"/>
      <c r="S27" s="1" t="s">
        <v>334</v>
      </c>
    </row>
    <row r="28" spans="1:19" ht="17.25" customHeight="1" x14ac:dyDescent="0.3">
      <c r="A28" s="54"/>
      <c r="B28" s="55"/>
      <c r="C28" s="56"/>
      <c r="D28" s="57"/>
      <c r="E28" s="85" t="s">
        <v>630</v>
      </c>
      <c r="F28" s="224">
        <f>10%*D27</f>
        <v>5.7</v>
      </c>
      <c r="G28" s="224">
        <f>1.2%*D27</f>
        <v>0.68400000000000005</v>
      </c>
      <c r="H28" s="79">
        <f>F28+G28</f>
        <v>6.3840000000000003</v>
      </c>
      <c r="I28" s="19">
        <v>0</v>
      </c>
      <c r="J28" s="19"/>
      <c r="K28" s="19"/>
      <c r="L28" s="19">
        <v>1</v>
      </c>
      <c r="M28" s="20">
        <f t="shared" si="6"/>
        <v>1</v>
      </c>
      <c r="N28" s="37"/>
      <c r="O28" s="404"/>
      <c r="P28" s="231">
        <f>G28*0.52*15%*0</f>
        <v>0</v>
      </c>
      <c r="Q28" s="16"/>
    </row>
    <row r="29" spans="1:19" ht="16.5" customHeight="1" x14ac:dyDescent="0.3">
      <c r="A29" s="54"/>
      <c r="B29" s="55" t="s">
        <v>59</v>
      </c>
      <c r="C29" s="56" t="s">
        <v>21</v>
      </c>
      <c r="D29" s="57">
        <v>72.94</v>
      </c>
      <c r="E29" s="47" t="s">
        <v>629</v>
      </c>
      <c r="F29" s="19">
        <v>8</v>
      </c>
      <c r="G29" s="224">
        <f>4%*D29</f>
        <v>2.9175999999999997</v>
      </c>
      <c r="H29" s="19">
        <f>F29+G29</f>
        <v>10.9176</v>
      </c>
      <c r="I29" s="19">
        <v>0</v>
      </c>
      <c r="J29" s="19">
        <v>0</v>
      </c>
      <c r="K29" s="19">
        <v>0</v>
      </c>
      <c r="L29" s="19">
        <v>2</v>
      </c>
      <c r="M29" s="20">
        <f t="shared" si="6"/>
        <v>2</v>
      </c>
      <c r="N29" s="95"/>
      <c r="O29" s="399"/>
      <c r="P29" s="231">
        <f>G29*0.52*20%*0</f>
        <v>0</v>
      </c>
      <c r="Q29" s="87"/>
    </row>
    <row r="30" spans="1:19" ht="33.75" customHeight="1" x14ac:dyDescent="0.3">
      <c r="A30" s="89"/>
      <c r="B30" s="402" t="s">
        <v>326</v>
      </c>
      <c r="C30" s="403"/>
      <c r="D30" s="73">
        <f>SUM(D25:D29)</f>
        <v>333.21999999999997</v>
      </c>
      <c r="E30" s="74"/>
      <c r="F30" s="83">
        <f t="shared" ref="F30:K30" si="8">SUM(F25:F29)</f>
        <v>73.392800000000008</v>
      </c>
      <c r="G30" s="83">
        <f t="shared" si="8"/>
        <v>10.10656</v>
      </c>
      <c r="H30" s="83">
        <f t="shared" si="8"/>
        <v>83.499359999999996</v>
      </c>
      <c r="I30" s="83">
        <f t="shared" si="8"/>
        <v>0</v>
      </c>
      <c r="J30" s="83">
        <f t="shared" si="8"/>
        <v>0</v>
      </c>
      <c r="K30" s="83">
        <f t="shared" si="8"/>
        <v>0</v>
      </c>
      <c r="L30" s="83">
        <f>SUM(L26:L29)</f>
        <v>5</v>
      </c>
      <c r="M30" s="83">
        <f>SUM(M25:M29)</f>
        <v>5</v>
      </c>
      <c r="N30" s="76"/>
      <c r="O30" s="77"/>
      <c r="P30" s="232"/>
      <c r="Q30" s="75"/>
    </row>
    <row r="31" spans="1:19" ht="14.25" customHeight="1" x14ac:dyDescent="0.3">
      <c r="A31" s="63">
        <v>3</v>
      </c>
      <c r="B31" s="64" t="s">
        <v>19</v>
      </c>
      <c r="C31" s="65"/>
      <c r="D31" s="66"/>
      <c r="E31" s="67"/>
      <c r="F31" s="82"/>
      <c r="G31" s="82"/>
      <c r="H31" s="82"/>
      <c r="I31" s="82"/>
      <c r="J31" s="82"/>
      <c r="K31" s="82"/>
      <c r="L31" s="82"/>
      <c r="M31" s="82"/>
      <c r="N31" s="69"/>
      <c r="O31" s="70"/>
      <c r="P31" s="233"/>
      <c r="Q31" s="68"/>
    </row>
    <row r="32" spans="1:19" ht="16.5" customHeight="1" x14ac:dyDescent="0.3">
      <c r="A32" s="13"/>
      <c r="B32" s="14" t="s">
        <v>57</v>
      </c>
      <c r="C32" s="15" t="s">
        <v>24</v>
      </c>
      <c r="D32" s="26">
        <f>1347+481.9+4</f>
        <v>1832.9</v>
      </c>
      <c r="E32" s="50" t="s">
        <v>52</v>
      </c>
      <c r="F32" s="19">
        <f>4%*D32</f>
        <v>73.316000000000003</v>
      </c>
      <c r="G32" s="26">
        <f>30%*D32</f>
        <v>549.87</v>
      </c>
      <c r="H32" s="26">
        <f>SUM(F32:G32)</f>
        <v>623.18600000000004</v>
      </c>
      <c r="I32" s="19">
        <v>0</v>
      </c>
      <c r="J32" s="19"/>
      <c r="K32" s="19"/>
      <c r="L32" s="19">
        <v>2</v>
      </c>
      <c r="M32" s="19">
        <f>SUM(I32:L32)</f>
        <v>2</v>
      </c>
      <c r="N32" s="35">
        <v>1</v>
      </c>
      <c r="O32" s="414" t="s">
        <v>642</v>
      </c>
      <c r="P32" s="234">
        <f t="shared" ref="P32:P61" si="9">G32*0.815*26%*3500000</f>
        <v>407811085.5</v>
      </c>
      <c r="Q32" s="16"/>
    </row>
    <row r="33" spans="1:17" ht="15" customHeight="1" x14ac:dyDescent="0.3">
      <c r="A33" s="13"/>
      <c r="B33" s="14"/>
      <c r="C33" s="15"/>
      <c r="D33" s="26"/>
      <c r="E33" s="47" t="s">
        <v>624</v>
      </c>
      <c r="F33" s="19">
        <f>5%*D32</f>
        <v>91.64500000000001</v>
      </c>
      <c r="G33" s="26">
        <f>8%*D32</f>
        <v>146.63200000000001</v>
      </c>
      <c r="H33" s="26">
        <f>F33+G33</f>
        <v>238.27700000000002</v>
      </c>
      <c r="I33" s="19">
        <v>0</v>
      </c>
      <c r="J33" s="19"/>
      <c r="K33" s="19">
        <v>0</v>
      </c>
      <c r="L33" s="19">
        <v>4</v>
      </c>
      <c r="M33" s="19">
        <f>SUM(I33:L33)</f>
        <v>4</v>
      </c>
      <c r="N33" s="35"/>
      <c r="O33" s="401"/>
      <c r="P33" s="234">
        <f t="shared" si="9"/>
        <v>108749622.8</v>
      </c>
      <c r="Q33" s="16"/>
    </row>
    <row r="34" spans="1:17" ht="16.5" customHeight="1" x14ac:dyDescent="0.3">
      <c r="A34" s="13"/>
      <c r="B34" s="14" t="s">
        <v>58</v>
      </c>
      <c r="C34" s="15" t="s">
        <v>25</v>
      </c>
      <c r="D34" s="26">
        <f>1378+343.2+4</f>
        <v>1725.2</v>
      </c>
      <c r="E34" s="50" t="s">
        <v>52</v>
      </c>
      <c r="F34" s="19">
        <f>1%*D34</f>
        <v>17.252000000000002</v>
      </c>
      <c r="G34" s="26">
        <f>7%*D34</f>
        <v>120.76400000000001</v>
      </c>
      <c r="H34" s="26">
        <f t="shared" ref="H34:H61" si="10">SUM(F34:G34)</f>
        <v>138.01600000000002</v>
      </c>
      <c r="I34" s="19">
        <v>0</v>
      </c>
      <c r="J34" s="19"/>
      <c r="K34" s="19">
        <v>0</v>
      </c>
      <c r="L34" s="19">
        <v>0</v>
      </c>
      <c r="M34" s="19">
        <f t="shared" ref="M34:M61" si="11">SUM(I34:L34)</f>
        <v>0</v>
      </c>
      <c r="N34" s="35"/>
      <c r="O34" s="401"/>
      <c r="P34" s="234">
        <f t="shared" si="9"/>
        <v>89564620.600000009</v>
      </c>
      <c r="Q34" s="16"/>
    </row>
    <row r="35" spans="1:17" ht="16.5" customHeight="1" x14ac:dyDescent="0.3">
      <c r="A35" s="13"/>
      <c r="B35" s="14" t="s">
        <v>59</v>
      </c>
      <c r="C35" s="15" t="s">
        <v>26</v>
      </c>
      <c r="D35" s="26">
        <f>1032+337+10</f>
        <v>1379</v>
      </c>
      <c r="E35" s="50" t="s">
        <v>52</v>
      </c>
      <c r="F35" s="19">
        <f>2%*D35</f>
        <v>27.580000000000002</v>
      </c>
      <c r="G35" s="26">
        <f>13%*D35</f>
        <v>179.27</v>
      </c>
      <c r="H35" s="26">
        <f t="shared" si="10"/>
        <v>206.85000000000002</v>
      </c>
      <c r="I35" s="19"/>
      <c r="J35" s="19"/>
      <c r="K35" s="19">
        <v>5</v>
      </c>
      <c r="L35" s="19">
        <v>5</v>
      </c>
      <c r="M35" s="19">
        <f t="shared" si="11"/>
        <v>10</v>
      </c>
      <c r="N35" s="35"/>
      <c r="O35" s="401"/>
      <c r="P35" s="234">
        <f t="shared" si="9"/>
        <v>132955595.5</v>
      </c>
      <c r="Q35" s="16"/>
    </row>
    <row r="36" spans="1:17" ht="16.5" customHeight="1" x14ac:dyDescent="0.3">
      <c r="A36" s="13"/>
      <c r="B36" s="14"/>
      <c r="C36" s="15"/>
      <c r="D36" s="26"/>
      <c r="E36" s="47" t="s">
        <v>624</v>
      </c>
      <c r="F36" s="19">
        <f>5%*D35</f>
        <v>68.95</v>
      </c>
      <c r="G36" s="26">
        <f>9%*D35</f>
        <v>124.11</v>
      </c>
      <c r="H36" s="26">
        <f>F36+G36</f>
        <v>193.06</v>
      </c>
      <c r="I36" s="19">
        <v>0</v>
      </c>
      <c r="J36" s="19"/>
      <c r="K36" s="19">
        <v>5</v>
      </c>
      <c r="L36" s="19">
        <v>4</v>
      </c>
      <c r="M36" s="19">
        <f>SUM(I36:L36)</f>
        <v>9</v>
      </c>
      <c r="N36" s="35"/>
      <c r="O36" s="401"/>
      <c r="P36" s="234">
        <f t="shared" si="9"/>
        <v>92046181.5</v>
      </c>
      <c r="Q36" s="16"/>
    </row>
    <row r="37" spans="1:17" ht="15" customHeight="1" x14ac:dyDescent="0.3">
      <c r="A37" s="13"/>
      <c r="B37" s="14" t="s">
        <v>60</v>
      </c>
      <c r="C37" s="15" t="s">
        <v>55</v>
      </c>
      <c r="D37" s="26">
        <f>312.6+146.93</f>
        <v>459.53000000000003</v>
      </c>
      <c r="E37" s="50" t="s">
        <v>52</v>
      </c>
      <c r="F37" s="19">
        <f t="shared" ref="F37" si="12">5%*D37</f>
        <v>22.976500000000001</v>
      </c>
      <c r="G37" s="26">
        <f>13%*D37</f>
        <v>59.738900000000008</v>
      </c>
      <c r="H37" s="26">
        <f t="shared" si="10"/>
        <v>82.715400000000017</v>
      </c>
      <c r="I37" s="19">
        <v>0</v>
      </c>
      <c r="J37" s="19">
        <v>0</v>
      </c>
      <c r="K37" s="19">
        <v>0</v>
      </c>
      <c r="L37" s="19">
        <v>0</v>
      </c>
      <c r="M37" s="19">
        <f t="shared" si="11"/>
        <v>0</v>
      </c>
      <c r="N37" s="35"/>
      <c r="O37" s="401"/>
      <c r="P37" s="234">
        <f t="shared" si="9"/>
        <v>44305355.185000002</v>
      </c>
      <c r="Q37" s="16"/>
    </row>
    <row r="38" spans="1:17" ht="16.5" customHeight="1" x14ac:dyDescent="0.3">
      <c r="A38" s="13"/>
      <c r="B38" s="14"/>
      <c r="C38" s="15"/>
      <c r="D38" s="26"/>
      <c r="E38" s="47" t="s">
        <v>235</v>
      </c>
      <c r="F38" s="26">
        <f>4%*D37</f>
        <v>18.381200000000003</v>
      </c>
      <c r="G38" s="26">
        <f>9%*D37</f>
        <v>41.357700000000001</v>
      </c>
      <c r="H38" s="26">
        <f>SUM(F38:G38)</f>
        <v>59.738900000000001</v>
      </c>
      <c r="I38" s="19"/>
      <c r="J38" s="19"/>
      <c r="K38" s="19"/>
      <c r="L38" s="19">
        <v>5</v>
      </c>
      <c r="M38" s="19">
        <f>SUM(I38:L38)</f>
        <v>5</v>
      </c>
      <c r="N38" s="35"/>
      <c r="O38" s="400"/>
      <c r="P38" s="234">
        <f t="shared" si="9"/>
        <v>30672938.205000002</v>
      </c>
      <c r="Q38" s="16"/>
    </row>
    <row r="39" spans="1:17" ht="15" customHeight="1" x14ac:dyDescent="0.3">
      <c r="A39" s="13"/>
      <c r="B39" s="14" t="s">
        <v>61</v>
      </c>
      <c r="C39" s="15" t="s">
        <v>27</v>
      </c>
      <c r="D39" s="26">
        <f>650.7+162.25</f>
        <v>812.95</v>
      </c>
      <c r="E39" s="50" t="s">
        <v>52</v>
      </c>
      <c r="F39" s="19">
        <f>1%*D39</f>
        <v>8.1295000000000002</v>
      </c>
      <c r="G39" s="26">
        <f>25%*D39</f>
        <v>203.23750000000001</v>
      </c>
      <c r="H39" s="26">
        <f t="shared" si="10"/>
        <v>211.36700000000002</v>
      </c>
      <c r="I39" s="19">
        <v>0</v>
      </c>
      <c r="J39" s="19">
        <v>0</v>
      </c>
      <c r="K39" s="19">
        <v>0</v>
      </c>
      <c r="L39" s="19">
        <v>7</v>
      </c>
      <c r="M39" s="19">
        <f t="shared" si="11"/>
        <v>7</v>
      </c>
      <c r="N39" s="35"/>
      <c r="O39" s="36"/>
      <c r="P39" s="234">
        <f t="shared" si="9"/>
        <v>150731091.875</v>
      </c>
      <c r="Q39" s="16"/>
    </row>
    <row r="40" spans="1:17" ht="16.5" customHeight="1" x14ac:dyDescent="0.3">
      <c r="A40" s="13"/>
      <c r="B40" s="14" t="s">
        <v>62</v>
      </c>
      <c r="C40" s="15" t="s">
        <v>28</v>
      </c>
      <c r="D40" s="26">
        <f>876+634.6+5</f>
        <v>1515.6</v>
      </c>
      <c r="E40" s="50" t="s">
        <v>52</v>
      </c>
      <c r="F40" s="19">
        <f>1%*D40</f>
        <v>15.155999999999999</v>
      </c>
      <c r="G40" s="26">
        <f>10%*D40</f>
        <v>151.56</v>
      </c>
      <c r="H40" s="26">
        <f t="shared" si="10"/>
        <v>166.71600000000001</v>
      </c>
      <c r="I40" s="19">
        <v>0</v>
      </c>
      <c r="J40" s="19">
        <v>0</v>
      </c>
      <c r="K40" s="19">
        <v>5</v>
      </c>
      <c r="L40" s="19">
        <v>5</v>
      </c>
      <c r="M40" s="19">
        <f t="shared" si="11"/>
        <v>10</v>
      </c>
      <c r="N40" s="35">
        <v>2</v>
      </c>
      <c r="O40" s="399" t="s">
        <v>643</v>
      </c>
      <c r="P40" s="234">
        <f t="shared" si="9"/>
        <v>112404474</v>
      </c>
      <c r="Q40" s="16"/>
    </row>
    <row r="41" spans="1:17" ht="16.5" customHeight="1" x14ac:dyDescent="0.3">
      <c r="A41" s="13"/>
      <c r="B41" s="14" t="s">
        <v>63</v>
      </c>
      <c r="C41" s="15" t="s">
        <v>29</v>
      </c>
      <c r="D41" s="26">
        <f>1576+278.5</f>
        <v>1854.5</v>
      </c>
      <c r="E41" s="50" t="s">
        <v>52</v>
      </c>
      <c r="F41" s="19">
        <f>1%*D41</f>
        <v>18.545000000000002</v>
      </c>
      <c r="G41" s="26">
        <f>20%*D41</f>
        <v>370.90000000000003</v>
      </c>
      <c r="H41" s="26">
        <f t="shared" si="10"/>
        <v>389.44500000000005</v>
      </c>
      <c r="I41" s="19">
        <v>0</v>
      </c>
      <c r="J41" s="19">
        <v>0</v>
      </c>
      <c r="K41" s="19">
        <v>10</v>
      </c>
      <c r="L41" s="19">
        <v>5</v>
      </c>
      <c r="M41" s="19">
        <f t="shared" si="11"/>
        <v>15</v>
      </c>
      <c r="N41" s="35"/>
      <c r="O41" s="401"/>
      <c r="P41" s="234">
        <f t="shared" si="9"/>
        <v>275077985</v>
      </c>
      <c r="Q41" s="16"/>
    </row>
    <row r="42" spans="1:17" ht="13.5" customHeight="1" x14ac:dyDescent="0.3">
      <c r="A42" s="13"/>
      <c r="B42" s="14"/>
      <c r="C42" s="15"/>
      <c r="D42" s="26"/>
      <c r="E42" s="47" t="s">
        <v>234</v>
      </c>
      <c r="F42" s="19">
        <f>2%*D41</f>
        <v>37.090000000000003</v>
      </c>
      <c r="G42" s="26">
        <f>9%*D40</f>
        <v>136.404</v>
      </c>
      <c r="H42" s="26">
        <f>F42+G42</f>
        <v>173.494</v>
      </c>
      <c r="I42" s="19"/>
      <c r="J42" s="19">
        <v>0</v>
      </c>
      <c r="K42" s="19">
        <v>0</v>
      </c>
      <c r="L42" s="19">
        <v>0</v>
      </c>
      <c r="M42" s="19">
        <f t="shared" ref="M42" si="13">SUM(I42:L42)</f>
        <v>0</v>
      </c>
      <c r="N42" s="35"/>
      <c r="O42" s="401"/>
      <c r="P42" s="234">
        <f t="shared" si="9"/>
        <v>101164026.59999999</v>
      </c>
      <c r="Q42" s="16"/>
    </row>
    <row r="43" spans="1:17" ht="16.5" customHeight="1" x14ac:dyDescent="0.3">
      <c r="A43" s="13"/>
      <c r="B43" s="14" t="s">
        <v>64</v>
      </c>
      <c r="C43" s="15" t="s">
        <v>56</v>
      </c>
      <c r="D43" s="26">
        <f>274.6+53.7+42</f>
        <v>370.3</v>
      </c>
      <c r="E43" s="50" t="s">
        <v>52</v>
      </c>
      <c r="F43" s="19">
        <f t="shared" ref="F43:F57" si="14">2%*D43</f>
        <v>7.4060000000000006</v>
      </c>
      <c r="G43" s="26">
        <f>9%*D43</f>
        <v>33.326999999999998</v>
      </c>
      <c r="H43" s="26">
        <f t="shared" si="10"/>
        <v>40.732999999999997</v>
      </c>
      <c r="I43" s="19">
        <v>0</v>
      </c>
      <c r="J43" s="19"/>
      <c r="K43" s="19"/>
      <c r="L43" s="19">
        <v>0</v>
      </c>
      <c r="M43" s="19">
        <f t="shared" si="11"/>
        <v>0</v>
      </c>
      <c r="N43" s="35"/>
      <c r="O43" s="401"/>
      <c r="P43" s="234">
        <f t="shared" si="9"/>
        <v>24716969.550000001</v>
      </c>
      <c r="Q43" s="16"/>
    </row>
    <row r="44" spans="1:17" ht="18" customHeight="1" x14ac:dyDescent="0.3">
      <c r="A44" s="13"/>
      <c r="B44" s="14" t="s">
        <v>65</v>
      </c>
      <c r="C44" s="15" t="s">
        <v>30</v>
      </c>
      <c r="D44" s="26">
        <f>1500.5+566.7</f>
        <v>2067.1999999999998</v>
      </c>
      <c r="E44" s="50" t="s">
        <v>52</v>
      </c>
      <c r="F44" s="19">
        <f t="shared" si="14"/>
        <v>41.343999999999994</v>
      </c>
      <c r="G44" s="26">
        <f>9%*D44</f>
        <v>186.04799999999997</v>
      </c>
      <c r="H44" s="26">
        <f t="shared" si="10"/>
        <v>227.39199999999997</v>
      </c>
      <c r="I44" s="19">
        <v>0</v>
      </c>
      <c r="J44" s="19">
        <v>0</v>
      </c>
      <c r="K44" s="19">
        <v>0</v>
      </c>
      <c r="L44" s="19">
        <v>0</v>
      </c>
      <c r="M44" s="19">
        <f t="shared" si="11"/>
        <v>0</v>
      </c>
      <c r="N44" s="35"/>
      <c r="O44" s="401"/>
      <c r="P44" s="234">
        <f t="shared" si="9"/>
        <v>137982499.19999996</v>
      </c>
      <c r="Q44" s="16"/>
    </row>
    <row r="45" spans="1:17" ht="18" customHeight="1" x14ac:dyDescent="0.3">
      <c r="A45" s="13"/>
      <c r="B45" s="14"/>
      <c r="C45" s="15"/>
      <c r="D45" s="26"/>
      <c r="E45" s="47" t="s">
        <v>624</v>
      </c>
      <c r="F45" s="19">
        <f>5%*D44</f>
        <v>103.36</v>
      </c>
      <c r="G45" s="26">
        <f>9%*D44</f>
        <v>186.04799999999997</v>
      </c>
      <c r="H45" s="26">
        <f>F45+G45</f>
        <v>289.40799999999996</v>
      </c>
      <c r="I45" s="19">
        <v>0</v>
      </c>
      <c r="J45" s="19"/>
      <c r="K45" s="19">
        <v>5</v>
      </c>
      <c r="L45" s="19">
        <v>4</v>
      </c>
      <c r="M45" s="19">
        <f>SUM(I45:L45)</f>
        <v>9</v>
      </c>
      <c r="N45" s="35"/>
      <c r="O45" s="401"/>
      <c r="P45" s="234">
        <f t="shared" si="9"/>
        <v>137982499.19999996</v>
      </c>
      <c r="Q45" s="16"/>
    </row>
    <row r="46" spans="1:17" ht="18.75" customHeight="1" x14ac:dyDescent="0.3">
      <c r="A46" s="13"/>
      <c r="B46" s="14" t="s">
        <v>66</v>
      </c>
      <c r="C46" s="15" t="s">
        <v>31</v>
      </c>
      <c r="D46" s="26">
        <f>1214.5+386.5</f>
        <v>1601</v>
      </c>
      <c r="E46" s="50" t="s">
        <v>52</v>
      </c>
      <c r="F46" s="19">
        <f t="shared" si="14"/>
        <v>32.020000000000003</v>
      </c>
      <c r="G46" s="26">
        <f>9%*D46</f>
        <v>144.09</v>
      </c>
      <c r="H46" s="26">
        <f t="shared" si="10"/>
        <v>176.11</v>
      </c>
      <c r="I46" s="19">
        <v>0</v>
      </c>
      <c r="J46" s="19">
        <v>0</v>
      </c>
      <c r="K46" s="19">
        <v>0</v>
      </c>
      <c r="L46" s="19">
        <v>0</v>
      </c>
      <c r="M46" s="19">
        <f t="shared" si="11"/>
        <v>0</v>
      </c>
      <c r="N46" s="35"/>
      <c r="O46" s="401"/>
      <c r="P46" s="234">
        <f t="shared" si="9"/>
        <v>106864348.49999999</v>
      </c>
      <c r="Q46" s="16"/>
    </row>
    <row r="47" spans="1:17" ht="16.5" customHeight="1" x14ac:dyDescent="0.3">
      <c r="A47" s="13"/>
      <c r="B47" s="14" t="s">
        <v>67</v>
      </c>
      <c r="C47" s="15" t="s">
        <v>32</v>
      </c>
      <c r="D47" s="26">
        <f>998.9+79.5</f>
        <v>1078.4000000000001</v>
      </c>
      <c r="E47" s="50" t="s">
        <v>52</v>
      </c>
      <c r="F47" s="19">
        <f t="shared" si="14"/>
        <v>21.568000000000001</v>
      </c>
      <c r="G47" s="26">
        <f>9%*D47</f>
        <v>97.056000000000012</v>
      </c>
      <c r="H47" s="26">
        <f t="shared" si="10"/>
        <v>118.62400000000001</v>
      </c>
      <c r="I47" s="19">
        <v>0</v>
      </c>
      <c r="J47" s="19">
        <v>0</v>
      </c>
      <c r="K47" s="19">
        <v>0</v>
      </c>
      <c r="L47" s="19">
        <v>0</v>
      </c>
      <c r="M47" s="19">
        <f t="shared" si="11"/>
        <v>0</v>
      </c>
      <c r="N47" s="35"/>
      <c r="O47" s="401"/>
      <c r="P47" s="234">
        <f t="shared" si="9"/>
        <v>71981582.400000006</v>
      </c>
      <c r="Q47" s="16"/>
    </row>
    <row r="48" spans="1:17" ht="18.75" customHeight="1" x14ac:dyDescent="0.3">
      <c r="A48" s="13"/>
      <c r="B48" s="14" t="s">
        <v>68</v>
      </c>
      <c r="C48" s="15" t="s">
        <v>33</v>
      </c>
      <c r="D48" s="26">
        <f>1314+57.5</f>
        <v>1371.5</v>
      </c>
      <c r="E48" s="50" t="s">
        <v>52</v>
      </c>
      <c r="F48" s="19">
        <f t="shared" si="14"/>
        <v>27.43</v>
      </c>
      <c r="G48" s="26">
        <f>9%*D48</f>
        <v>123.435</v>
      </c>
      <c r="H48" s="26">
        <f t="shared" si="10"/>
        <v>150.86500000000001</v>
      </c>
      <c r="I48" s="19">
        <v>0</v>
      </c>
      <c r="J48" s="19"/>
      <c r="K48" s="19">
        <v>0</v>
      </c>
      <c r="L48" s="19">
        <v>0</v>
      </c>
      <c r="M48" s="19">
        <f t="shared" si="11"/>
        <v>0</v>
      </c>
      <c r="N48" s="35"/>
      <c r="O48" s="401"/>
      <c r="P48" s="234">
        <f t="shared" si="9"/>
        <v>91545567.75</v>
      </c>
      <c r="Q48" s="16"/>
    </row>
    <row r="49" spans="1:17" ht="16.5" customHeight="1" x14ac:dyDescent="0.3">
      <c r="A49" s="13"/>
      <c r="B49" s="14" t="s">
        <v>69</v>
      </c>
      <c r="C49" s="15" t="s">
        <v>34</v>
      </c>
      <c r="D49" s="26">
        <f>1892.1+376</f>
        <v>2268.1</v>
      </c>
      <c r="E49" s="50" t="s">
        <v>52</v>
      </c>
      <c r="F49" s="19">
        <f t="shared" si="14"/>
        <v>45.362000000000002</v>
      </c>
      <c r="G49" s="26">
        <f>20%*D49</f>
        <v>453.62</v>
      </c>
      <c r="H49" s="26">
        <f t="shared" si="10"/>
        <v>498.98200000000003</v>
      </c>
      <c r="I49" s="19">
        <v>0</v>
      </c>
      <c r="J49" s="19"/>
      <c r="K49" s="19"/>
      <c r="L49" s="19">
        <v>6</v>
      </c>
      <c r="M49" s="19">
        <f t="shared" si="11"/>
        <v>6</v>
      </c>
      <c r="N49" s="35"/>
      <c r="O49" s="401"/>
      <c r="P49" s="234">
        <f t="shared" si="9"/>
        <v>336427273</v>
      </c>
      <c r="Q49" s="16"/>
    </row>
    <row r="50" spans="1:17" ht="16.5" customHeight="1" x14ac:dyDescent="0.3">
      <c r="A50" s="13"/>
      <c r="B50" s="14" t="s">
        <v>70</v>
      </c>
      <c r="C50" s="15" t="s">
        <v>35</v>
      </c>
      <c r="D50" s="26">
        <f>1558+185.25</f>
        <v>1743.25</v>
      </c>
      <c r="E50" s="50" t="s">
        <v>52</v>
      </c>
      <c r="F50" s="19">
        <f t="shared" si="14"/>
        <v>34.865000000000002</v>
      </c>
      <c r="G50" s="26">
        <f>9%*D50</f>
        <v>156.89249999999998</v>
      </c>
      <c r="H50" s="26">
        <f t="shared" si="10"/>
        <v>191.75749999999999</v>
      </c>
      <c r="I50" s="19">
        <v>0</v>
      </c>
      <c r="J50" s="19">
        <v>0</v>
      </c>
      <c r="K50" s="19">
        <v>0</v>
      </c>
      <c r="L50" s="19">
        <v>0</v>
      </c>
      <c r="M50" s="19">
        <f t="shared" si="11"/>
        <v>0</v>
      </c>
      <c r="N50" s="35"/>
      <c r="O50" s="401"/>
      <c r="P50" s="234">
        <f t="shared" si="9"/>
        <v>116359322.62499999</v>
      </c>
      <c r="Q50" s="16"/>
    </row>
    <row r="51" spans="1:17" ht="17.25" customHeight="1" x14ac:dyDescent="0.3">
      <c r="A51" s="13"/>
      <c r="B51" s="14" t="s">
        <v>71</v>
      </c>
      <c r="C51" s="15" t="s">
        <v>21</v>
      </c>
      <c r="D51" s="26">
        <f>1972+130</f>
        <v>2102</v>
      </c>
      <c r="E51" s="50" t="s">
        <v>52</v>
      </c>
      <c r="F51" s="19">
        <f t="shared" si="14"/>
        <v>42.04</v>
      </c>
      <c r="G51" s="26">
        <f>10%*D51</f>
        <v>210.20000000000002</v>
      </c>
      <c r="H51" s="26">
        <f t="shared" si="10"/>
        <v>252.24</v>
      </c>
      <c r="I51" s="19">
        <v>0</v>
      </c>
      <c r="J51" s="19">
        <v>0</v>
      </c>
      <c r="K51" s="19">
        <v>0</v>
      </c>
      <c r="L51" s="19">
        <v>0</v>
      </c>
      <c r="M51" s="19">
        <f t="shared" si="11"/>
        <v>0</v>
      </c>
      <c r="N51" s="35"/>
      <c r="O51" s="401"/>
      <c r="P51" s="234">
        <f t="shared" si="9"/>
        <v>155894830</v>
      </c>
      <c r="Q51" s="16"/>
    </row>
    <row r="52" spans="1:17" ht="22.5" customHeight="1" x14ac:dyDescent="0.3">
      <c r="A52" s="13"/>
      <c r="B52" s="14" t="s">
        <v>72</v>
      </c>
      <c r="C52" s="15" t="s">
        <v>42</v>
      </c>
      <c r="D52" s="26">
        <f>773.1+303.8</f>
        <v>1076.9000000000001</v>
      </c>
      <c r="E52" s="50" t="s">
        <v>52</v>
      </c>
      <c r="F52" s="19">
        <f t="shared" si="14"/>
        <v>21.538000000000004</v>
      </c>
      <c r="G52" s="26">
        <f>9%*D52</f>
        <v>96.921000000000006</v>
      </c>
      <c r="H52" s="26">
        <f t="shared" si="10"/>
        <v>118.459</v>
      </c>
      <c r="I52" s="19">
        <v>0</v>
      </c>
      <c r="J52" s="19">
        <v>0</v>
      </c>
      <c r="K52" s="19">
        <v>0</v>
      </c>
      <c r="L52" s="19">
        <v>4</v>
      </c>
      <c r="M52" s="19">
        <f t="shared" si="11"/>
        <v>4</v>
      </c>
      <c r="N52" s="35"/>
      <c r="O52" s="400"/>
      <c r="P52" s="234">
        <f t="shared" si="9"/>
        <v>71881459.650000006</v>
      </c>
      <c r="Q52" s="16"/>
    </row>
    <row r="53" spans="1:17" ht="16.5" customHeight="1" x14ac:dyDescent="0.3">
      <c r="A53" s="13"/>
      <c r="B53" s="14" t="s">
        <v>73</v>
      </c>
      <c r="C53" s="15" t="s">
        <v>105</v>
      </c>
      <c r="D53" s="26">
        <f>153.8+8.7</f>
        <v>162.5</v>
      </c>
      <c r="E53" s="50" t="s">
        <v>52</v>
      </c>
      <c r="F53" s="19">
        <f t="shared" si="14"/>
        <v>3.25</v>
      </c>
      <c r="G53" s="26">
        <f>10%*D53</f>
        <v>16.25</v>
      </c>
      <c r="H53" s="26">
        <f t="shared" si="10"/>
        <v>19.5</v>
      </c>
      <c r="I53" s="19">
        <v>0</v>
      </c>
      <c r="J53" s="19">
        <v>0</v>
      </c>
      <c r="K53" s="19">
        <v>0</v>
      </c>
      <c r="L53" s="19">
        <v>4</v>
      </c>
      <c r="M53" s="19">
        <f t="shared" si="11"/>
        <v>4</v>
      </c>
      <c r="N53" s="35"/>
      <c r="O53" s="36"/>
      <c r="P53" s="234">
        <f t="shared" si="9"/>
        <v>12051812.499999998</v>
      </c>
      <c r="Q53" s="16"/>
    </row>
    <row r="54" spans="1:17" ht="16.5" customHeight="1" x14ac:dyDescent="0.3">
      <c r="A54" s="13"/>
      <c r="B54" s="14" t="s">
        <v>74</v>
      </c>
      <c r="C54" s="15" t="s">
        <v>110</v>
      </c>
      <c r="D54" s="26">
        <f>695+48.2</f>
        <v>743.2</v>
      </c>
      <c r="E54" s="50" t="s">
        <v>52</v>
      </c>
      <c r="F54" s="19">
        <f t="shared" si="14"/>
        <v>14.864000000000001</v>
      </c>
      <c r="G54" s="26">
        <f>9%*D54</f>
        <v>66.888000000000005</v>
      </c>
      <c r="H54" s="26">
        <f t="shared" si="10"/>
        <v>81.75200000000001</v>
      </c>
      <c r="I54" s="19">
        <v>0</v>
      </c>
      <c r="J54" s="19">
        <v>0</v>
      </c>
      <c r="K54" s="19">
        <v>0</v>
      </c>
      <c r="L54" s="19">
        <v>0</v>
      </c>
      <c r="M54" s="19">
        <f t="shared" si="11"/>
        <v>0</v>
      </c>
      <c r="N54" s="35">
        <v>3</v>
      </c>
      <c r="O54" s="399" t="s">
        <v>644</v>
      </c>
      <c r="P54" s="234">
        <f t="shared" si="9"/>
        <v>49607485.200000003</v>
      </c>
      <c r="Q54" s="16"/>
    </row>
    <row r="55" spans="1:17" ht="16.5" customHeight="1" x14ac:dyDescent="0.3">
      <c r="A55" s="13"/>
      <c r="B55" s="14" t="s">
        <v>75</v>
      </c>
      <c r="C55" s="15" t="s">
        <v>112</v>
      </c>
      <c r="D55" s="26">
        <f>375+14</f>
        <v>389</v>
      </c>
      <c r="E55" s="50" t="s">
        <v>52</v>
      </c>
      <c r="F55" s="19">
        <f t="shared" si="14"/>
        <v>7.78</v>
      </c>
      <c r="G55" s="26">
        <f>10%*D55</f>
        <v>38.900000000000006</v>
      </c>
      <c r="H55" s="26">
        <f t="shared" si="10"/>
        <v>46.680000000000007</v>
      </c>
      <c r="I55" s="19">
        <v>0</v>
      </c>
      <c r="J55" s="19">
        <v>0</v>
      </c>
      <c r="K55" s="19">
        <v>0</v>
      </c>
      <c r="L55" s="19">
        <v>0</v>
      </c>
      <c r="M55" s="19">
        <f t="shared" si="11"/>
        <v>0</v>
      </c>
      <c r="N55" s="35"/>
      <c r="O55" s="401"/>
      <c r="P55" s="234">
        <f t="shared" si="9"/>
        <v>28850185</v>
      </c>
      <c r="Q55" s="16"/>
    </row>
    <row r="56" spans="1:17" ht="16.5" customHeight="1" x14ac:dyDescent="0.3">
      <c r="A56" s="13"/>
      <c r="B56" s="14" t="s">
        <v>104</v>
      </c>
      <c r="C56" s="15" t="s">
        <v>114</v>
      </c>
      <c r="D56" s="26">
        <f>73.5</f>
        <v>73.5</v>
      </c>
      <c r="E56" s="50" t="s">
        <v>52</v>
      </c>
      <c r="F56" s="19">
        <f t="shared" si="14"/>
        <v>1.47</v>
      </c>
      <c r="G56" s="26">
        <f>10%*D56</f>
        <v>7.3500000000000005</v>
      </c>
      <c r="H56" s="26">
        <f t="shared" si="10"/>
        <v>8.82</v>
      </c>
      <c r="I56" s="19">
        <v>0</v>
      </c>
      <c r="J56" s="19">
        <v>0</v>
      </c>
      <c r="K56" s="19">
        <v>0</v>
      </c>
      <c r="L56" s="19">
        <v>0</v>
      </c>
      <c r="M56" s="19">
        <f t="shared" si="11"/>
        <v>0</v>
      </c>
      <c r="N56" s="35"/>
      <c r="O56" s="401"/>
      <c r="P56" s="234">
        <f t="shared" si="9"/>
        <v>5451127.5</v>
      </c>
      <c r="Q56" s="16"/>
    </row>
    <row r="57" spans="1:17" ht="16.5" customHeight="1" x14ac:dyDescent="0.3">
      <c r="A57" s="13"/>
      <c r="B57" s="14" t="s">
        <v>106</v>
      </c>
      <c r="C57" s="15" t="s">
        <v>22</v>
      </c>
      <c r="D57" s="26">
        <f>1184.3+105</f>
        <v>1289.3</v>
      </c>
      <c r="E57" s="50" t="s">
        <v>52</v>
      </c>
      <c r="F57" s="19">
        <f t="shared" si="14"/>
        <v>25.786000000000001</v>
      </c>
      <c r="G57" s="26">
        <f>9%*D57</f>
        <v>116.03699999999999</v>
      </c>
      <c r="H57" s="26">
        <f t="shared" si="10"/>
        <v>141.82299999999998</v>
      </c>
      <c r="I57" s="19">
        <v>0</v>
      </c>
      <c r="J57" s="19">
        <v>0</v>
      </c>
      <c r="K57" s="19">
        <v>5</v>
      </c>
      <c r="L57" s="19">
        <v>0</v>
      </c>
      <c r="M57" s="19">
        <f t="shared" si="11"/>
        <v>5</v>
      </c>
      <c r="N57" s="35"/>
      <c r="O57" s="401"/>
      <c r="P57" s="234">
        <f t="shared" si="9"/>
        <v>86058841.049999982</v>
      </c>
      <c r="Q57" s="16"/>
    </row>
    <row r="58" spans="1:17" ht="14.25" customHeight="1" x14ac:dyDescent="0.3">
      <c r="A58" s="13"/>
      <c r="B58" s="14" t="s">
        <v>108</v>
      </c>
      <c r="C58" s="15" t="s">
        <v>180</v>
      </c>
      <c r="D58" s="26">
        <f>134.8+5</f>
        <v>139.80000000000001</v>
      </c>
      <c r="E58" s="47" t="s">
        <v>52</v>
      </c>
      <c r="F58" s="19">
        <f>5%*D58</f>
        <v>6.9900000000000011</v>
      </c>
      <c r="G58" s="26">
        <f>9%*D58</f>
        <v>12.582000000000001</v>
      </c>
      <c r="H58" s="26">
        <f t="shared" si="10"/>
        <v>19.572000000000003</v>
      </c>
      <c r="I58" s="19">
        <v>0</v>
      </c>
      <c r="J58" s="19">
        <v>0</v>
      </c>
      <c r="K58" s="19">
        <v>0</v>
      </c>
      <c r="L58" s="19">
        <v>0</v>
      </c>
      <c r="M58" s="19">
        <f t="shared" si="11"/>
        <v>0</v>
      </c>
      <c r="N58" s="35"/>
      <c r="O58" s="401"/>
      <c r="P58" s="234">
        <f t="shared" si="9"/>
        <v>9331440.3000000007</v>
      </c>
      <c r="Q58" s="16"/>
    </row>
    <row r="59" spans="1:17" ht="16.5" customHeight="1" x14ac:dyDescent="0.3">
      <c r="A59" s="13"/>
      <c r="B59" s="14" t="s">
        <v>109</v>
      </c>
      <c r="C59" s="15" t="s">
        <v>43</v>
      </c>
      <c r="D59" s="26">
        <f>1195+218.6</f>
        <v>1413.6</v>
      </c>
      <c r="E59" s="50" t="s">
        <v>52</v>
      </c>
      <c r="F59" s="19">
        <f>2%*D59</f>
        <v>28.271999999999998</v>
      </c>
      <c r="G59" s="26">
        <f>20%*D59</f>
        <v>282.71999999999997</v>
      </c>
      <c r="H59" s="26">
        <f t="shared" si="10"/>
        <v>310.99199999999996</v>
      </c>
      <c r="I59" s="19">
        <v>0</v>
      </c>
      <c r="J59" s="19">
        <v>0</v>
      </c>
      <c r="K59" s="19">
        <v>0</v>
      </c>
      <c r="L59" s="19">
        <v>0</v>
      </c>
      <c r="M59" s="19">
        <f t="shared" si="11"/>
        <v>0</v>
      </c>
      <c r="N59" s="35"/>
      <c r="O59" s="400"/>
      <c r="P59" s="234">
        <f t="shared" si="9"/>
        <v>209679288</v>
      </c>
      <c r="Q59" s="16"/>
    </row>
    <row r="60" spans="1:17" ht="15.75" customHeight="1" x14ac:dyDescent="0.3">
      <c r="A60" s="13"/>
      <c r="B60" s="55" t="s">
        <v>111</v>
      </c>
      <c r="C60" s="56" t="s">
        <v>44</v>
      </c>
      <c r="D60" s="57">
        <f>1400.35+129.1</f>
        <v>1529.4499999999998</v>
      </c>
      <c r="E60" s="78" t="s">
        <v>52</v>
      </c>
      <c r="F60" s="19">
        <f>5%*D60</f>
        <v>76.472499999999997</v>
      </c>
      <c r="G60" s="26">
        <f>9%*D60</f>
        <v>137.65049999999997</v>
      </c>
      <c r="H60" s="26">
        <f t="shared" si="10"/>
        <v>214.12299999999996</v>
      </c>
      <c r="I60" s="19">
        <v>0</v>
      </c>
      <c r="J60" s="19">
        <v>0</v>
      </c>
      <c r="K60" s="19">
        <v>0</v>
      </c>
      <c r="L60" s="19">
        <v>10</v>
      </c>
      <c r="M60" s="19">
        <f t="shared" si="11"/>
        <v>10</v>
      </c>
      <c r="N60" s="35"/>
      <c r="O60" s="36"/>
      <c r="P60" s="234">
        <f t="shared" si="9"/>
        <v>102088493.32499997</v>
      </c>
      <c r="Q60" s="16"/>
    </row>
    <row r="61" spans="1:17" ht="16.5" customHeight="1" x14ac:dyDescent="0.3">
      <c r="A61" s="13"/>
      <c r="B61" s="14" t="s">
        <v>74</v>
      </c>
      <c r="C61" s="15" t="s">
        <v>43</v>
      </c>
      <c r="D61" s="26">
        <v>1189</v>
      </c>
      <c r="E61" s="50" t="s">
        <v>52</v>
      </c>
      <c r="F61" s="19">
        <f>2%*D61</f>
        <v>23.78</v>
      </c>
      <c r="G61" s="26">
        <f>9%*D61</f>
        <v>107.00999999999999</v>
      </c>
      <c r="H61" s="26">
        <f t="shared" si="10"/>
        <v>130.79</v>
      </c>
      <c r="I61" s="19">
        <v>0</v>
      </c>
      <c r="J61" s="19"/>
      <c r="K61" s="19"/>
      <c r="L61" s="19">
        <v>5</v>
      </c>
      <c r="M61" s="19">
        <f t="shared" si="11"/>
        <v>5</v>
      </c>
      <c r="N61" s="35"/>
      <c r="O61" s="36"/>
      <c r="P61" s="234">
        <f t="shared" si="9"/>
        <v>79363966.5</v>
      </c>
      <c r="Q61" s="16"/>
    </row>
    <row r="62" spans="1:17" ht="18.75" customHeight="1" x14ac:dyDescent="0.3">
      <c r="A62" s="89"/>
      <c r="B62" s="72" t="s">
        <v>347</v>
      </c>
      <c r="C62" s="72"/>
      <c r="D62" s="84">
        <f>SUM(D32:D61)</f>
        <v>30187.68</v>
      </c>
      <c r="E62" s="74"/>
      <c r="F62" s="83">
        <f>SUM(F39:F61)</f>
        <v>644.51800000000003</v>
      </c>
      <c r="G62" s="83">
        <f t="shared" ref="G62:M62" si="15">SUM(G32:G61)</f>
        <v>4556.869099999999</v>
      </c>
      <c r="H62" s="83">
        <f t="shared" si="15"/>
        <v>5521.4877999999999</v>
      </c>
      <c r="I62" s="83">
        <f t="shared" si="15"/>
        <v>0</v>
      </c>
      <c r="J62" s="83">
        <f t="shared" si="15"/>
        <v>0</v>
      </c>
      <c r="K62" s="83">
        <f t="shared" si="15"/>
        <v>35</v>
      </c>
      <c r="L62" s="83">
        <f t="shared" si="15"/>
        <v>70</v>
      </c>
      <c r="M62" s="83">
        <f t="shared" si="15"/>
        <v>105</v>
      </c>
      <c r="N62" s="76"/>
      <c r="O62" s="77"/>
      <c r="P62" s="184">
        <f>SUM(P32:P61)</f>
        <v>3379601968.0149999</v>
      </c>
      <c r="Q62" s="75"/>
    </row>
    <row r="63" spans="1:17" ht="13.5" customHeight="1" x14ac:dyDescent="0.3">
      <c r="A63" s="63">
        <v>4</v>
      </c>
      <c r="B63" s="64" t="s">
        <v>46</v>
      </c>
      <c r="C63" s="65"/>
      <c r="D63" s="66"/>
      <c r="E63" s="67"/>
      <c r="F63" s="82"/>
      <c r="G63" s="82"/>
      <c r="H63" s="82"/>
      <c r="I63" s="82"/>
      <c r="J63" s="82"/>
      <c r="K63" s="82"/>
      <c r="L63" s="82"/>
      <c r="M63" s="82"/>
      <c r="N63" s="69"/>
      <c r="O63" s="70"/>
      <c r="P63" s="233"/>
      <c r="Q63" s="68"/>
    </row>
    <row r="64" spans="1:17" ht="18.75" customHeight="1" x14ac:dyDescent="0.3">
      <c r="A64" s="102"/>
      <c r="B64" s="98" t="s">
        <v>57</v>
      </c>
      <c r="C64" s="99" t="s">
        <v>29</v>
      </c>
      <c r="D64" s="96">
        <v>175</v>
      </c>
      <c r="E64" s="101" t="s">
        <v>645</v>
      </c>
      <c r="F64" s="96">
        <f>5%*D64</f>
        <v>8.75</v>
      </c>
      <c r="G64" s="96">
        <f>3%*D64</f>
        <v>5.25</v>
      </c>
      <c r="H64" s="96">
        <f>SUM(F64:G64)</f>
        <v>14</v>
      </c>
      <c r="I64" s="97">
        <v>0</v>
      </c>
      <c r="J64" s="97"/>
      <c r="K64" s="97"/>
      <c r="L64" s="97">
        <v>3</v>
      </c>
      <c r="M64" s="97">
        <f t="shared" ref="M64:M72" si="16">SUM(I64:L64)</f>
        <v>3</v>
      </c>
      <c r="N64" s="35" t="s">
        <v>51</v>
      </c>
      <c r="O64" s="36" t="s">
        <v>229</v>
      </c>
      <c r="P64" s="234">
        <f>G64*1.036*20%*8000000</f>
        <v>8702400</v>
      </c>
      <c r="Q64" s="16"/>
    </row>
    <row r="65" spans="1:20" ht="16.5" customHeight="1" x14ac:dyDescent="0.3">
      <c r="A65" s="13"/>
      <c r="B65" s="14" t="s">
        <v>58</v>
      </c>
      <c r="C65" s="15" t="s">
        <v>33</v>
      </c>
      <c r="D65" s="26">
        <v>368</v>
      </c>
      <c r="E65" s="47" t="s">
        <v>185</v>
      </c>
      <c r="F65" s="26">
        <f>5%*D65</f>
        <v>18.400000000000002</v>
      </c>
      <c r="G65" s="26">
        <f>10%*D65</f>
        <v>36.800000000000004</v>
      </c>
      <c r="H65" s="26">
        <f t="shared" ref="H65:H72" si="17">SUM(F65:G65)</f>
        <v>55.2</v>
      </c>
      <c r="I65" s="19">
        <v>0</v>
      </c>
      <c r="J65" s="19"/>
      <c r="K65" s="19">
        <v>0</v>
      </c>
      <c r="L65" s="19">
        <v>4</v>
      </c>
      <c r="M65" s="19">
        <f t="shared" si="16"/>
        <v>4</v>
      </c>
      <c r="N65" s="35" t="s">
        <v>51</v>
      </c>
      <c r="O65" s="36" t="s">
        <v>138</v>
      </c>
      <c r="P65" s="234">
        <f>G65*1.036*20%*8000000</f>
        <v>60999680.000000015</v>
      </c>
      <c r="Q65" s="16"/>
    </row>
    <row r="66" spans="1:20" ht="17.25" customHeight="1" x14ac:dyDescent="0.3">
      <c r="A66" s="13"/>
      <c r="B66" s="98" t="s">
        <v>59</v>
      </c>
      <c r="C66" s="99" t="s">
        <v>42</v>
      </c>
      <c r="D66" s="96">
        <v>774.98</v>
      </c>
      <c r="E66" s="101" t="s">
        <v>645</v>
      </c>
      <c r="F66" s="96">
        <f>4%*D66</f>
        <v>30.999200000000002</v>
      </c>
      <c r="G66" s="97">
        <f>15%*D66</f>
        <v>116.247</v>
      </c>
      <c r="H66" s="96">
        <f t="shared" si="17"/>
        <v>147.24619999999999</v>
      </c>
      <c r="I66" s="97">
        <v>0</v>
      </c>
      <c r="J66" s="97"/>
      <c r="K66" s="97">
        <v>0</v>
      </c>
      <c r="L66" s="97">
        <v>4</v>
      </c>
      <c r="M66" s="97">
        <f t="shared" si="16"/>
        <v>4</v>
      </c>
      <c r="N66" s="35"/>
      <c r="O66" s="36"/>
      <c r="P66" s="234">
        <f>G66*1.036*20%*8000000</f>
        <v>192691027.20000002</v>
      </c>
      <c r="Q66" s="16"/>
    </row>
    <row r="67" spans="1:20" ht="18.75" customHeight="1" x14ac:dyDescent="0.3">
      <c r="A67" s="13"/>
      <c r="B67" s="98" t="s">
        <v>60</v>
      </c>
      <c r="C67" s="99" t="s">
        <v>21</v>
      </c>
      <c r="D67" s="96">
        <v>949.55</v>
      </c>
      <c r="E67" s="101" t="s">
        <v>645</v>
      </c>
      <c r="F67" s="96">
        <f>2%*D67</f>
        <v>18.991</v>
      </c>
      <c r="G67" s="97">
        <f>4%*D67</f>
        <v>37.981999999999999</v>
      </c>
      <c r="H67" s="96">
        <f t="shared" si="17"/>
        <v>56.972999999999999</v>
      </c>
      <c r="I67" s="97">
        <v>0</v>
      </c>
      <c r="J67" s="97"/>
      <c r="K67" s="97">
        <v>0</v>
      </c>
      <c r="L67" s="97">
        <v>4</v>
      </c>
      <c r="M67" s="97">
        <f t="shared" si="16"/>
        <v>4</v>
      </c>
      <c r="N67" s="35"/>
      <c r="O67" s="36"/>
      <c r="P67" s="234">
        <f t="shared" ref="P67:P69" si="18">G67*1.036*20%*8500000</f>
        <v>66893898.400000006</v>
      </c>
      <c r="Q67" s="16"/>
      <c r="S67" s="1" t="s">
        <v>641</v>
      </c>
    </row>
    <row r="68" spans="1:20" ht="12.75" customHeight="1" x14ac:dyDescent="0.3">
      <c r="A68" s="13"/>
      <c r="B68" s="98"/>
      <c r="C68" s="99"/>
      <c r="D68" s="96"/>
      <c r="E68" s="47" t="s">
        <v>185</v>
      </c>
      <c r="F68" s="96">
        <f>1%*D67</f>
        <v>9.4954999999999998</v>
      </c>
      <c r="G68" s="96">
        <f>1%*D67</f>
        <v>9.4954999999999998</v>
      </c>
      <c r="H68" s="96">
        <f>SUM(F68:G68)</f>
        <v>18.991</v>
      </c>
      <c r="I68" s="19">
        <v>0</v>
      </c>
      <c r="J68" s="19">
        <v>0</v>
      </c>
      <c r="K68" s="19">
        <v>0</v>
      </c>
      <c r="L68" s="19">
        <v>0</v>
      </c>
      <c r="M68" s="19">
        <f t="shared" si="16"/>
        <v>0</v>
      </c>
      <c r="N68" s="35"/>
      <c r="O68" s="36"/>
      <c r="P68" s="234">
        <f t="shared" si="18"/>
        <v>16723474.600000001</v>
      </c>
      <c r="Q68" s="16"/>
    </row>
    <row r="69" spans="1:20" ht="18.75" customHeight="1" x14ac:dyDescent="0.3">
      <c r="A69" s="16"/>
      <c r="B69" s="14" t="s">
        <v>61</v>
      </c>
      <c r="C69" s="15" t="s">
        <v>22</v>
      </c>
      <c r="D69" s="26">
        <v>1223.55</v>
      </c>
      <c r="E69" s="101" t="s">
        <v>645</v>
      </c>
      <c r="F69" s="26">
        <f>2%*D69</f>
        <v>24.471</v>
      </c>
      <c r="G69" s="19">
        <f>4%*D69</f>
        <v>48.942</v>
      </c>
      <c r="H69" s="26">
        <f t="shared" si="17"/>
        <v>73.412999999999997</v>
      </c>
      <c r="I69" s="19">
        <v>0</v>
      </c>
      <c r="J69" s="19"/>
      <c r="K69" s="19">
        <v>3</v>
      </c>
      <c r="L69" s="19">
        <v>4</v>
      </c>
      <c r="M69" s="19">
        <f t="shared" si="16"/>
        <v>7</v>
      </c>
      <c r="N69" s="35"/>
      <c r="O69" s="36"/>
      <c r="P69" s="234">
        <f t="shared" si="18"/>
        <v>86196650.400000006</v>
      </c>
      <c r="Q69" s="16"/>
    </row>
    <row r="70" spans="1:20" ht="16.5" customHeight="1" x14ac:dyDescent="0.3">
      <c r="A70" s="87"/>
      <c r="B70" s="55" t="s">
        <v>62</v>
      </c>
      <c r="C70" s="56" t="s">
        <v>43</v>
      </c>
      <c r="D70" s="57">
        <v>133</v>
      </c>
      <c r="E70" s="101" t="s">
        <v>645</v>
      </c>
      <c r="F70" s="19">
        <f>5%*D70</f>
        <v>6.65</v>
      </c>
      <c r="G70" s="19">
        <f>2%*D70</f>
        <v>2.66</v>
      </c>
      <c r="H70" s="26">
        <f t="shared" si="17"/>
        <v>9.31</v>
      </c>
      <c r="I70" s="19">
        <v>0</v>
      </c>
      <c r="J70" s="19"/>
      <c r="K70" s="19">
        <v>0</v>
      </c>
      <c r="L70" s="19">
        <v>1</v>
      </c>
      <c r="M70" s="19">
        <f t="shared" si="16"/>
        <v>1</v>
      </c>
      <c r="N70" s="35"/>
      <c r="O70" s="36"/>
      <c r="P70" s="234">
        <f>G70*1.036*20%*8000000</f>
        <v>4409216.0000000009</v>
      </c>
      <c r="Q70" s="16"/>
    </row>
    <row r="71" spans="1:20" ht="17.25" customHeight="1" x14ac:dyDescent="0.3">
      <c r="A71" s="87"/>
      <c r="B71" s="14" t="s">
        <v>63</v>
      </c>
      <c r="C71" s="15" t="s">
        <v>44</v>
      </c>
      <c r="D71" s="26">
        <v>324.64999999999998</v>
      </c>
      <c r="E71" s="101" t="s">
        <v>645</v>
      </c>
      <c r="F71" s="135">
        <f>1%*D71</f>
        <v>3.2464999999999997</v>
      </c>
      <c r="G71" s="19">
        <f>1%*D71</f>
        <v>3.2464999999999997</v>
      </c>
      <c r="H71" s="26">
        <f t="shared" ref="H71" si="19">SUM(F71:G71)</f>
        <v>6.4929999999999994</v>
      </c>
      <c r="I71" s="135">
        <v>0</v>
      </c>
      <c r="J71" s="135"/>
      <c r="K71" s="135">
        <v>0</v>
      </c>
      <c r="L71" s="135">
        <v>3</v>
      </c>
      <c r="M71" s="135">
        <f t="shared" ref="M71" si="20">SUM(I71:L71)</f>
        <v>3</v>
      </c>
      <c r="N71" s="80"/>
      <c r="O71" s="81"/>
      <c r="P71" s="234">
        <f>G71*1.036*20%*8000000</f>
        <v>5381398.4000000004</v>
      </c>
      <c r="Q71" s="87"/>
    </row>
    <row r="72" spans="1:20" ht="21" customHeight="1" x14ac:dyDescent="0.3">
      <c r="A72" s="16"/>
      <c r="B72" s="14" t="s">
        <v>63</v>
      </c>
      <c r="C72" s="15" t="s">
        <v>32</v>
      </c>
      <c r="D72" s="26">
        <v>248.5</v>
      </c>
      <c r="E72" s="101" t="s">
        <v>645</v>
      </c>
      <c r="F72" s="135">
        <f>1%*D72</f>
        <v>2.4849999999999999</v>
      </c>
      <c r="G72" s="19">
        <f>1%*D72</f>
        <v>2.4849999999999999</v>
      </c>
      <c r="H72" s="26">
        <f t="shared" si="17"/>
        <v>4.97</v>
      </c>
      <c r="I72" s="135">
        <v>0</v>
      </c>
      <c r="J72" s="135"/>
      <c r="K72" s="135">
        <v>0</v>
      </c>
      <c r="L72" s="135">
        <v>3</v>
      </c>
      <c r="M72" s="135">
        <f t="shared" si="16"/>
        <v>3</v>
      </c>
      <c r="N72" s="80"/>
      <c r="O72" s="81"/>
      <c r="P72" s="234">
        <f>G72*1.036*20%*8000000</f>
        <v>4119136</v>
      </c>
      <c r="Q72" s="87"/>
    </row>
    <row r="73" spans="1:20" ht="16.5" customHeight="1" x14ac:dyDescent="0.3">
      <c r="A73" s="75"/>
      <c r="B73" s="72" t="s">
        <v>348</v>
      </c>
      <c r="C73" s="72"/>
      <c r="D73" s="73">
        <f>SUM(D64:D72)</f>
        <v>4197.2299999999996</v>
      </c>
      <c r="E73" s="74"/>
      <c r="F73" s="73">
        <f t="shared" ref="F73:K73" si="21">SUM(F64:F72)</f>
        <v>123.48820000000002</v>
      </c>
      <c r="G73" s="83">
        <f t="shared" si="21"/>
        <v>263.10800000000006</v>
      </c>
      <c r="H73" s="73">
        <f t="shared" si="21"/>
        <v>386.59620000000001</v>
      </c>
      <c r="I73" s="83">
        <f t="shared" si="21"/>
        <v>0</v>
      </c>
      <c r="J73" s="83">
        <f t="shared" si="21"/>
        <v>0</v>
      </c>
      <c r="K73" s="83">
        <f t="shared" si="21"/>
        <v>3</v>
      </c>
      <c r="L73" s="83">
        <f>SUM(L63:L72)</f>
        <v>26</v>
      </c>
      <c r="M73" s="83">
        <f>SUM(M64:M72)</f>
        <v>29</v>
      </c>
      <c r="N73" s="76"/>
      <c r="O73" s="77"/>
      <c r="P73" s="184">
        <f>SUM(P64:P72)</f>
        <v>446116881</v>
      </c>
      <c r="Q73" s="75"/>
    </row>
    <row r="74" spans="1:20" ht="14.25" customHeight="1" x14ac:dyDescent="0.3">
      <c r="A74" s="63">
        <v>5</v>
      </c>
      <c r="B74" s="64" t="s">
        <v>96</v>
      </c>
      <c r="C74" s="65"/>
      <c r="D74" s="66"/>
      <c r="E74" s="67"/>
      <c r="F74" s="66"/>
      <c r="G74" s="66"/>
      <c r="H74" s="66"/>
      <c r="I74" s="82"/>
      <c r="J74" s="82"/>
      <c r="K74" s="82"/>
      <c r="L74" s="82"/>
      <c r="M74" s="82"/>
      <c r="N74" s="69"/>
      <c r="O74" s="70"/>
      <c r="P74" s="233"/>
      <c r="Q74" s="68"/>
    </row>
    <row r="75" spans="1:20" ht="16.5" customHeight="1" x14ac:dyDescent="0.3">
      <c r="A75" s="16"/>
      <c r="B75" s="14" t="s">
        <v>57</v>
      </c>
      <c r="C75" s="15" t="s">
        <v>22</v>
      </c>
      <c r="D75" s="26">
        <v>13.6</v>
      </c>
      <c r="E75" s="47" t="s">
        <v>187</v>
      </c>
      <c r="F75" s="26">
        <f>70%*D75</f>
        <v>9.52</v>
      </c>
      <c r="G75" s="26">
        <f>15%*D75</f>
        <v>2.04</v>
      </c>
      <c r="H75" s="26">
        <f t="shared" ref="H75:H83" si="22">SUM(F75:G75)</f>
        <v>11.559999999999999</v>
      </c>
      <c r="I75" s="19">
        <v>0</v>
      </c>
      <c r="J75" s="19"/>
      <c r="K75" s="19">
        <v>5</v>
      </c>
      <c r="L75" s="19">
        <v>2</v>
      </c>
      <c r="M75" s="19">
        <f>SUM(I75:L75)</f>
        <v>7</v>
      </c>
      <c r="N75" s="35"/>
      <c r="O75" s="36"/>
      <c r="P75" s="234">
        <f t="shared" ref="P75:P83" si="23">G75*0.486*30%*0</f>
        <v>0</v>
      </c>
      <c r="Q75" s="16"/>
    </row>
    <row r="76" spans="1:20" ht="17.25" customHeight="1" x14ac:dyDescent="0.3">
      <c r="A76" s="16"/>
      <c r="B76" s="14" t="s">
        <v>58</v>
      </c>
      <c r="C76" s="15" t="s">
        <v>21</v>
      </c>
      <c r="D76" s="26">
        <v>24.61</v>
      </c>
      <c r="E76" s="47" t="s">
        <v>187</v>
      </c>
      <c r="F76" s="26">
        <f>26%*D76</f>
        <v>6.3986000000000001</v>
      </c>
      <c r="G76" s="26">
        <f>40%*D76</f>
        <v>9.8440000000000012</v>
      </c>
      <c r="H76" s="26">
        <f t="shared" si="22"/>
        <v>16.242600000000003</v>
      </c>
      <c r="I76" s="19">
        <v>0</v>
      </c>
      <c r="J76" s="19"/>
      <c r="K76" s="19">
        <v>3</v>
      </c>
      <c r="L76" s="19">
        <v>3</v>
      </c>
      <c r="M76" s="19">
        <f t="shared" ref="M76:M83" si="24">SUM(I76:L76)</f>
        <v>6</v>
      </c>
      <c r="N76" s="35"/>
      <c r="O76" s="36" t="s">
        <v>50</v>
      </c>
      <c r="P76" s="234">
        <f t="shared" si="23"/>
        <v>0</v>
      </c>
      <c r="Q76" s="16"/>
      <c r="S76" s="1" t="s">
        <v>636</v>
      </c>
      <c r="T76" s="1" t="s">
        <v>637</v>
      </c>
    </row>
    <row r="77" spans="1:20" ht="16.5" customHeight="1" x14ac:dyDescent="0.3">
      <c r="A77" s="16"/>
      <c r="B77" s="14"/>
      <c r="C77" s="15"/>
      <c r="D77" s="26"/>
      <c r="E77" s="47" t="s">
        <v>631</v>
      </c>
      <c r="F77" s="96">
        <f>15%*D76</f>
        <v>3.6914999999999996</v>
      </c>
      <c r="G77" s="96">
        <f>15%*D76</f>
        <v>3.6914999999999996</v>
      </c>
      <c r="H77" s="96">
        <f t="shared" si="22"/>
        <v>7.3829999999999991</v>
      </c>
      <c r="I77" s="97">
        <v>0</v>
      </c>
      <c r="J77" s="97">
        <v>0</v>
      </c>
      <c r="K77" s="97">
        <v>0</v>
      </c>
      <c r="L77" s="97">
        <v>3</v>
      </c>
      <c r="M77" s="97">
        <f t="shared" si="24"/>
        <v>3</v>
      </c>
      <c r="N77" s="35"/>
      <c r="O77" s="36"/>
      <c r="P77" s="234">
        <f t="shared" si="23"/>
        <v>0</v>
      </c>
      <c r="Q77" s="16"/>
      <c r="T77" s="1" t="s">
        <v>638</v>
      </c>
    </row>
    <row r="78" spans="1:20" ht="16.5" customHeight="1" x14ac:dyDescent="0.3">
      <c r="A78" s="16"/>
      <c r="B78" s="14" t="s">
        <v>59</v>
      </c>
      <c r="C78" s="15" t="s">
        <v>43</v>
      </c>
      <c r="D78" s="26">
        <v>22.64</v>
      </c>
      <c r="E78" s="47" t="s">
        <v>187</v>
      </c>
      <c r="F78" s="96">
        <f>15%*D78</f>
        <v>3.3959999999999999</v>
      </c>
      <c r="G78" s="26">
        <f>15%*D78</f>
        <v>3.3959999999999999</v>
      </c>
      <c r="H78" s="26">
        <f t="shared" si="22"/>
        <v>6.7919999999999998</v>
      </c>
      <c r="I78" s="19">
        <v>0</v>
      </c>
      <c r="J78" s="19"/>
      <c r="K78" s="19"/>
      <c r="L78" s="19">
        <v>2</v>
      </c>
      <c r="M78" s="19">
        <f t="shared" si="24"/>
        <v>2</v>
      </c>
      <c r="N78" s="35"/>
      <c r="O78" s="36" t="s">
        <v>137</v>
      </c>
      <c r="P78" s="234">
        <f t="shared" si="23"/>
        <v>0</v>
      </c>
      <c r="Q78" s="16"/>
    </row>
    <row r="79" spans="1:20" ht="18.75" customHeight="1" x14ac:dyDescent="0.3">
      <c r="A79" s="16"/>
      <c r="B79" s="14" t="s">
        <v>60</v>
      </c>
      <c r="C79" s="15" t="s">
        <v>44</v>
      </c>
      <c r="D79" s="26">
        <v>33</v>
      </c>
      <c r="E79" s="47" t="s">
        <v>187</v>
      </c>
      <c r="F79" s="26">
        <f>10%*D79</f>
        <v>3.3000000000000003</v>
      </c>
      <c r="G79" s="26">
        <f>15%*D79</f>
        <v>4.95</v>
      </c>
      <c r="H79" s="26">
        <f t="shared" si="22"/>
        <v>8.25</v>
      </c>
      <c r="I79" s="19">
        <v>0</v>
      </c>
      <c r="J79" s="19">
        <v>0</v>
      </c>
      <c r="K79" s="19">
        <v>0</v>
      </c>
      <c r="L79" s="19">
        <v>2</v>
      </c>
      <c r="M79" s="19">
        <f t="shared" si="24"/>
        <v>2</v>
      </c>
      <c r="N79" s="35"/>
      <c r="O79" s="36" t="s">
        <v>145</v>
      </c>
      <c r="P79" s="234">
        <f t="shared" si="23"/>
        <v>0</v>
      </c>
      <c r="Q79" s="16"/>
    </row>
    <row r="80" spans="1:20" ht="18.75" customHeight="1" x14ac:dyDescent="0.3">
      <c r="A80" s="16"/>
      <c r="B80" s="14" t="s">
        <v>61</v>
      </c>
      <c r="C80" s="15" t="s">
        <v>33</v>
      </c>
      <c r="D80" s="26">
        <v>8.3000000000000007</v>
      </c>
      <c r="E80" s="47" t="s">
        <v>187</v>
      </c>
      <c r="F80" s="26">
        <f>15%*D80</f>
        <v>1.2450000000000001</v>
      </c>
      <c r="G80" s="26">
        <f>10%*D80</f>
        <v>0.83000000000000007</v>
      </c>
      <c r="H80" s="26">
        <f t="shared" si="22"/>
        <v>2.0750000000000002</v>
      </c>
      <c r="I80" s="19">
        <v>0</v>
      </c>
      <c r="J80" s="19">
        <v>0</v>
      </c>
      <c r="K80" s="19">
        <v>0</v>
      </c>
      <c r="L80" s="19">
        <v>2</v>
      </c>
      <c r="M80" s="19">
        <f t="shared" si="24"/>
        <v>2</v>
      </c>
      <c r="N80" s="35"/>
      <c r="O80" s="36" t="s">
        <v>626</v>
      </c>
      <c r="P80" s="234">
        <f t="shared" si="23"/>
        <v>0</v>
      </c>
      <c r="Q80" s="16"/>
    </row>
    <row r="81" spans="1:20" ht="19.5" customHeight="1" x14ac:dyDescent="0.3">
      <c r="A81" s="16"/>
      <c r="B81" s="14" t="s">
        <v>62</v>
      </c>
      <c r="C81" s="15" t="s">
        <v>655</v>
      </c>
      <c r="D81" s="26">
        <v>5</v>
      </c>
      <c r="E81" s="47" t="s">
        <v>187</v>
      </c>
      <c r="F81" s="26">
        <f>11%*D81</f>
        <v>0.55000000000000004</v>
      </c>
      <c r="G81" s="26">
        <f>15%*D81</f>
        <v>0.75</v>
      </c>
      <c r="H81" s="26">
        <f t="shared" si="22"/>
        <v>1.3</v>
      </c>
      <c r="I81" s="19">
        <v>0</v>
      </c>
      <c r="J81" s="19">
        <v>0</v>
      </c>
      <c r="K81" s="19">
        <v>0</v>
      </c>
      <c r="L81" s="19">
        <v>3</v>
      </c>
      <c r="M81" s="19">
        <f t="shared" si="24"/>
        <v>3</v>
      </c>
      <c r="N81" s="35"/>
      <c r="O81" s="36"/>
      <c r="P81" s="234">
        <f t="shared" si="23"/>
        <v>0</v>
      </c>
      <c r="Q81" s="16"/>
    </row>
    <row r="82" spans="1:20" ht="19.5" customHeight="1" x14ac:dyDescent="0.3">
      <c r="A82" s="16"/>
      <c r="B82" s="14">
        <v>9</v>
      </c>
      <c r="C82" s="15" t="s">
        <v>30</v>
      </c>
      <c r="D82" s="26">
        <v>11.5</v>
      </c>
      <c r="E82" s="47" t="s">
        <v>187</v>
      </c>
      <c r="F82" s="26">
        <f>11%*D82</f>
        <v>1.2649999999999999</v>
      </c>
      <c r="G82" s="26">
        <f>16%*D82</f>
        <v>1.84</v>
      </c>
      <c r="H82" s="26">
        <f t="shared" si="22"/>
        <v>3.105</v>
      </c>
      <c r="I82" s="19">
        <v>0</v>
      </c>
      <c r="J82" s="19">
        <v>0</v>
      </c>
      <c r="K82" s="19">
        <v>1</v>
      </c>
      <c r="L82" s="19">
        <v>1</v>
      </c>
      <c r="M82" s="19">
        <f t="shared" si="24"/>
        <v>2</v>
      </c>
      <c r="N82" s="35"/>
      <c r="O82" s="36"/>
      <c r="P82" s="234">
        <f t="shared" si="23"/>
        <v>0</v>
      </c>
      <c r="Q82" s="16"/>
    </row>
    <row r="83" spans="1:20" ht="17.25" customHeight="1" x14ac:dyDescent="0.3">
      <c r="A83" s="87"/>
      <c r="B83" s="55" t="s">
        <v>64</v>
      </c>
      <c r="C83" s="56" t="s">
        <v>31</v>
      </c>
      <c r="D83" s="57">
        <v>6</v>
      </c>
      <c r="E83" s="47" t="s">
        <v>187</v>
      </c>
      <c r="F83" s="26">
        <f>15%*D83</f>
        <v>0.89999999999999991</v>
      </c>
      <c r="G83" s="26">
        <f>15%*D83</f>
        <v>0.89999999999999991</v>
      </c>
      <c r="H83" s="26">
        <f t="shared" si="22"/>
        <v>1.7999999999999998</v>
      </c>
      <c r="I83" s="79">
        <v>0</v>
      </c>
      <c r="J83" s="79">
        <v>0</v>
      </c>
      <c r="K83" s="79">
        <v>0</v>
      </c>
      <c r="L83" s="79">
        <v>3</v>
      </c>
      <c r="M83" s="79">
        <f t="shared" si="24"/>
        <v>3</v>
      </c>
      <c r="N83" s="80"/>
      <c r="O83" s="81"/>
      <c r="P83" s="234">
        <f t="shared" si="23"/>
        <v>0</v>
      </c>
      <c r="Q83" s="87"/>
    </row>
    <row r="84" spans="1:20" ht="15.75" customHeight="1" x14ac:dyDescent="0.3">
      <c r="A84" s="75"/>
      <c r="B84" s="72" t="s">
        <v>349</v>
      </c>
      <c r="C84" s="72"/>
      <c r="D84" s="73">
        <f>SUM(D75:D83)</f>
        <v>124.64999999999999</v>
      </c>
      <c r="E84" s="74"/>
      <c r="F84" s="73">
        <f t="shared" ref="F84:K84" si="25">SUM(F75:F83)</f>
        <v>30.266100000000002</v>
      </c>
      <c r="G84" s="73">
        <f t="shared" si="25"/>
        <v>28.241499999999998</v>
      </c>
      <c r="H84" s="73">
        <f t="shared" si="25"/>
        <v>58.507599999999996</v>
      </c>
      <c r="I84" s="83">
        <f t="shared" si="25"/>
        <v>0</v>
      </c>
      <c r="J84" s="83">
        <f t="shared" si="25"/>
        <v>0</v>
      </c>
      <c r="K84" s="83">
        <f t="shared" si="25"/>
        <v>9</v>
      </c>
      <c r="L84" s="83">
        <f>SUM(L74:L83)</f>
        <v>21</v>
      </c>
      <c r="M84" s="83">
        <f>SUM(M75:M83)</f>
        <v>30</v>
      </c>
      <c r="N84" s="76"/>
      <c r="O84" s="77"/>
      <c r="P84" s="184">
        <f>SUM(P75:P83)</f>
        <v>0</v>
      </c>
      <c r="Q84" s="75"/>
    </row>
    <row r="85" spans="1:20" ht="15.75" customHeight="1" x14ac:dyDescent="0.3">
      <c r="A85" s="103">
        <v>6</v>
      </c>
      <c r="B85" s="104" t="s">
        <v>116</v>
      </c>
      <c r="C85" s="104"/>
      <c r="D85" s="105"/>
      <c r="E85" s="106"/>
      <c r="F85" s="105"/>
      <c r="G85" s="107"/>
      <c r="H85" s="105"/>
      <c r="I85" s="107"/>
      <c r="J85" s="107"/>
      <c r="K85" s="107"/>
      <c r="L85" s="107"/>
      <c r="M85" s="107"/>
      <c r="N85" s="69"/>
      <c r="O85" s="70"/>
      <c r="P85" s="233"/>
      <c r="Q85" s="68"/>
      <c r="S85" s="1" t="s">
        <v>596</v>
      </c>
    </row>
    <row r="86" spans="1:20" ht="14.25" customHeight="1" x14ac:dyDescent="0.3">
      <c r="A86" s="27"/>
      <c r="B86" s="152" t="s">
        <v>57</v>
      </c>
      <c r="C86" s="99" t="s">
        <v>30</v>
      </c>
      <c r="D86" s="154">
        <v>54.84</v>
      </c>
      <c r="E86" s="101" t="s">
        <v>607</v>
      </c>
      <c r="F86" s="154">
        <f>6%*D86</f>
        <v>3.2904</v>
      </c>
      <c r="G86" s="155">
        <f>15%*D86</f>
        <v>8.2260000000000009</v>
      </c>
      <c r="H86" s="154">
        <f t="shared" ref="H86:H91" si="26">SUM(F86:G86)</f>
        <v>11.516400000000001</v>
      </c>
      <c r="I86" s="155">
        <v>0</v>
      </c>
      <c r="J86" s="155"/>
      <c r="K86" s="155">
        <v>3</v>
      </c>
      <c r="L86" s="155">
        <v>4</v>
      </c>
      <c r="M86" s="155">
        <f>SUM(I86:L86)</f>
        <v>7</v>
      </c>
      <c r="N86" s="156" t="s">
        <v>86</v>
      </c>
      <c r="O86" s="40" t="s">
        <v>271</v>
      </c>
      <c r="P86" s="235">
        <f t="shared" ref="P86:P91" si="27">G86*0.347*30*16000000</f>
        <v>1370122560</v>
      </c>
      <c r="Q86" s="27"/>
      <c r="S86" s="1" t="s">
        <v>597</v>
      </c>
      <c r="T86" s="1" t="s">
        <v>598</v>
      </c>
    </row>
    <row r="87" spans="1:20" ht="12.75" customHeight="1" x14ac:dyDescent="0.3">
      <c r="A87" s="27"/>
      <c r="B87" s="152"/>
      <c r="C87" s="153"/>
      <c r="D87" s="154"/>
      <c r="E87" s="101" t="s">
        <v>625</v>
      </c>
      <c r="F87" s="154">
        <f>6%*D86</f>
        <v>3.2904</v>
      </c>
      <c r="G87" s="155">
        <f>10%*D86</f>
        <v>5.4840000000000009</v>
      </c>
      <c r="H87" s="154">
        <f t="shared" ref="H87" si="28">SUM(F87:G87)</f>
        <v>8.7744</v>
      </c>
      <c r="I87" s="155">
        <v>0</v>
      </c>
      <c r="J87" s="155"/>
      <c r="K87" s="155"/>
      <c r="L87" s="155">
        <v>3</v>
      </c>
      <c r="M87" s="155">
        <f>SUM(I87:L87)</f>
        <v>3</v>
      </c>
      <c r="N87" s="156"/>
      <c r="O87" s="40"/>
      <c r="P87" s="235">
        <f t="shared" si="27"/>
        <v>913415040.00000012</v>
      </c>
      <c r="Q87" s="27"/>
    </row>
    <row r="88" spans="1:20" ht="18" customHeight="1" x14ac:dyDescent="0.3">
      <c r="A88" s="16"/>
      <c r="B88" s="14" t="s">
        <v>58</v>
      </c>
      <c r="C88" s="15" t="s">
        <v>44</v>
      </c>
      <c r="D88" s="26">
        <v>84.65</v>
      </c>
      <c r="E88" s="47" t="s">
        <v>182</v>
      </c>
      <c r="F88" s="26">
        <f>5%*D88</f>
        <v>4.2325000000000008</v>
      </c>
      <c r="G88" s="19">
        <f>15%*D88</f>
        <v>12.6975</v>
      </c>
      <c r="H88" s="26">
        <f t="shared" si="26"/>
        <v>16.93</v>
      </c>
      <c r="I88" s="19">
        <v>0</v>
      </c>
      <c r="J88" s="19"/>
      <c r="K88" s="19"/>
      <c r="L88" s="19">
        <v>4</v>
      </c>
      <c r="M88" s="19">
        <f t="shared" ref="M88:M91" si="29">SUM(I88:L88)</f>
        <v>4</v>
      </c>
      <c r="N88" s="35"/>
      <c r="O88" s="36" t="s">
        <v>272</v>
      </c>
      <c r="P88" s="235">
        <f t="shared" si="27"/>
        <v>2114895599.9999998</v>
      </c>
      <c r="Q88" s="16"/>
      <c r="S88" s="1" t="s">
        <v>599</v>
      </c>
      <c r="T88" s="1" t="s">
        <v>600</v>
      </c>
    </row>
    <row r="89" spans="1:20" ht="21" customHeight="1" x14ac:dyDescent="0.3">
      <c r="A89" s="16"/>
      <c r="B89" s="14"/>
      <c r="C89" s="15"/>
      <c r="D89" s="26"/>
      <c r="E89" s="101" t="s">
        <v>181</v>
      </c>
      <c r="F89" s="96">
        <f>10%*D88</f>
        <v>8.4650000000000016</v>
      </c>
      <c r="G89" s="97">
        <f>4%*D88</f>
        <v>3.3860000000000001</v>
      </c>
      <c r="H89" s="96">
        <f t="shared" si="26"/>
        <v>11.851000000000003</v>
      </c>
      <c r="I89" s="97">
        <v>0</v>
      </c>
      <c r="J89" s="97"/>
      <c r="K89" s="97">
        <v>0</v>
      </c>
      <c r="L89" s="97">
        <v>3</v>
      </c>
      <c r="M89" s="97">
        <f>SUM(I89:L89)</f>
        <v>3</v>
      </c>
      <c r="N89" s="35"/>
      <c r="O89" s="159" t="s">
        <v>273</v>
      </c>
      <c r="P89" s="235">
        <f t="shared" si="27"/>
        <v>563972159.99999988</v>
      </c>
      <c r="Q89" s="16"/>
    </row>
    <row r="90" spans="1:20" ht="23.25" customHeight="1" x14ac:dyDescent="0.3">
      <c r="A90" s="16"/>
      <c r="B90" s="14" t="s">
        <v>59</v>
      </c>
      <c r="C90" s="15" t="s">
        <v>33</v>
      </c>
      <c r="D90" s="26">
        <v>14.2</v>
      </c>
      <c r="E90" s="101" t="s">
        <v>181</v>
      </c>
      <c r="F90" s="26">
        <f>10%*D90</f>
        <v>1.42</v>
      </c>
      <c r="G90" s="240">
        <f>10%*D90</f>
        <v>1.42</v>
      </c>
      <c r="H90" s="26">
        <f t="shared" si="26"/>
        <v>2.84</v>
      </c>
      <c r="I90" s="19">
        <v>0</v>
      </c>
      <c r="J90" s="19"/>
      <c r="K90" s="19"/>
      <c r="L90" s="19"/>
      <c r="M90" s="19">
        <f t="shared" si="29"/>
        <v>0</v>
      </c>
      <c r="N90" s="35" t="s">
        <v>88</v>
      </c>
      <c r="O90" s="36" t="s">
        <v>274</v>
      </c>
      <c r="P90" s="235">
        <f t="shared" si="27"/>
        <v>236515200</v>
      </c>
      <c r="Q90" s="16"/>
      <c r="S90" s="1" t="s">
        <v>592</v>
      </c>
    </row>
    <row r="91" spans="1:20" ht="26.25" customHeight="1" x14ac:dyDescent="0.3">
      <c r="A91" s="108"/>
      <c r="B91" s="128" t="s">
        <v>61</v>
      </c>
      <c r="C91" s="126" t="s">
        <v>35</v>
      </c>
      <c r="D91" s="127">
        <v>36.72</v>
      </c>
      <c r="E91" s="142" t="s">
        <v>183</v>
      </c>
      <c r="F91" s="127">
        <f>8%*D91</f>
        <v>2.9375999999999998</v>
      </c>
      <c r="G91" s="240">
        <f>5%*D91</f>
        <v>1.8360000000000001</v>
      </c>
      <c r="H91" s="127">
        <f t="shared" si="26"/>
        <v>4.7736000000000001</v>
      </c>
      <c r="I91" s="143">
        <v>0</v>
      </c>
      <c r="J91" s="143">
        <v>0</v>
      </c>
      <c r="K91" s="143">
        <v>0</v>
      </c>
      <c r="L91" s="143">
        <v>2</v>
      </c>
      <c r="M91" s="143">
        <f t="shared" si="29"/>
        <v>2</v>
      </c>
      <c r="N91" s="157" t="s">
        <v>254</v>
      </c>
      <c r="O91" s="158" t="s">
        <v>137</v>
      </c>
      <c r="P91" s="236">
        <f t="shared" si="27"/>
        <v>305804160</v>
      </c>
      <c r="Q91" s="87"/>
      <c r="S91" s="217" t="s">
        <v>601</v>
      </c>
      <c r="T91" s="216" t="s">
        <v>602</v>
      </c>
    </row>
    <row r="92" spans="1:20" ht="20.25" customHeight="1" x14ac:dyDescent="0.3">
      <c r="A92" s="75"/>
      <c r="B92" s="136" t="s">
        <v>351</v>
      </c>
      <c r="C92" s="137"/>
      <c r="D92" s="138">
        <f>SUM(D86:D91)</f>
        <v>190.41</v>
      </c>
      <c r="E92" s="139"/>
      <c r="F92" s="138">
        <f t="shared" ref="F92:M92" si="30">SUM(F86:F91)</f>
        <v>23.635900000000003</v>
      </c>
      <c r="G92" s="140">
        <f t="shared" si="30"/>
        <v>33.049499999999995</v>
      </c>
      <c r="H92" s="138">
        <f t="shared" si="30"/>
        <v>56.685400000000001</v>
      </c>
      <c r="I92" s="140">
        <f t="shared" si="30"/>
        <v>0</v>
      </c>
      <c r="J92" s="140">
        <f t="shared" si="30"/>
        <v>0</v>
      </c>
      <c r="K92" s="140">
        <f t="shared" si="30"/>
        <v>3</v>
      </c>
      <c r="L92" s="140">
        <f t="shared" si="30"/>
        <v>16</v>
      </c>
      <c r="M92" s="140">
        <f t="shared" si="30"/>
        <v>19</v>
      </c>
      <c r="N92" s="76"/>
      <c r="O92" s="77"/>
      <c r="P92" s="237">
        <f>SUM(P86:P91)</f>
        <v>5504724720</v>
      </c>
      <c r="Q92" s="75"/>
    </row>
    <row r="93" spans="1:20" ht="13.5" customHeight="1" x14ac:dyDescent="0.3">
      <c r="A93" s="63">
        <v>7</v>
      </c>
      <c r="B93" s="8" t="s">
        <v>117</v>
      </c>
      <c r="C93" s="10"/>
      <c r="D93" s="90"/>
      <c r="E93" s="67"/>
      <c r="F93" s="66"/>
      <c r="G93" s="218"/>
      <c r="H93" s="66"/>
      <c r="I93" s="82"/>
      <c r="J93" s="82"/>
      <c r="K93" s="82"/>
      <c r="L93" s="82"/>
      <c r="M93" s="82"/>
      <c r="N93" s="69"/>
      <c r="O93" s="70"/>
      <c r="P93" s="233"/>
      <c r="Q93" s="68"/>
    </row>
    <row r="94" spans="1:20" ht="24.75" customHeight="1" x14ac:dyDescent="0.3">
      <c r="A94" s="16"/>
      <c r="B94" s="14" t="s">
        <v>57</v>
      </c>
      <c r="C94" s="15" t="s">
        <v>22</v>
      </c>
      <c r="D94" s="26">
        <v>300.95</v>
      </c>
      <c r="E94" s="101" t="s">
        <v>203</v>
      </c>
      <c r="F94" s="96">
        <f>2%*D94</f>
        <v>6.0190000000000001</v>
      </c>
      <c r="G94" s="223">
        <f>40%*D94</f>
        <v>120.38</v>
      </c>
      <c r="H94" s="96">
        <f t="shared" ref="H94:H101" si="31">SUM(F94:G94)</f>
        <v>126.399</v>
      </c>
      <c r="I94" s="97">
        <v>0</v>
      </c>
      <c r="J94" s="97"/>
      <c r="K94" s="97">
        <v>2</v>
      </c>
      <c r="L94" s="97">
        <v>4</v>
      </c>
      <c r="M94" s="97">
        <f>SUM(I94:L94)</f>
        <v>6</v>
      </c>
      <c r="N94" s="35"/>
      <c r="O94" s="40" t="s">
        <v>211</v>
      </c>
      <c r="P94" s="238">
        <f t="shared" ref="P94:P101" si="32">G94*0.3*30%*50000000</f>
        <v>541710000</v>
      </c>
      <c r="Q94" s="16"/>
    </row>
    <row r="95" spans="1:20" ht="15" customHeight="1" x14ac:dyDescent="0.3">
      <c r="A95" s="16"/>
      <c r="B95" s="14"/>
      <c r="C95" s="15"/>
      <c r="D95" s="26"/>
      <c r="E95" s="101" t="s">
        <v>184</v>
      </c>
      <c r="F95" s="96">
        <f>1%*D94</f>
        <v>3.0095000000000001</v>
      </c>
      <c r="G95" s="97">
        <f>5%*D94</f>
        <v>15.047499999999999</v>
      </c>
      <c r="H95" s="96">
        <f>SUM(F95:G95)</f>
        <v>18.056999999999999</v>
      </c>
      <c r="I95" s="97">
        <v>0</v>
      </c>
      <c r="J95" s="97"/>
      <c r="K95" s="97">
        <v>0</v>
      </c>
      <c r="L95" s="97">
        <v>2</v>
      </c>
      <c r="M95" s="97">
        <f>SUM(I95:L95)</f>
        <v>2</v>
      </c>
      <c r="N95" s="35"/>
      <c r="O95" s="40"/>
      <c r="P95" s="238">
        <f t="shared" si="32"/>
        <v>67713750</v>
      </c>
      <c r="Q95" s="16"/>
    </row>
    <row r="96" spans="1:20" ht="32.25" customHeight="1" x14ac:dyDescent="0.3">
      <c r="A96" s="16"/>
      <c r="B96" s="98" t="s">
        <v>58</v>
      </c>
      <c r="C96" s="99" t="s">
        <v>42</v>
      </c>
      <c r="D96" s="26">
        <v>277.5</v>
      </c>
      <c r="E96" s="101" t="s">
        <v>203</v>
      </c>
      <c r="F96" s="96">
        <f>3%*D96</f>
        <v>8.3249999999999993</v>
      </c>
      <c r="G96" s="97">
        <f>50%*D96</f>
        <v>138.75</v>
      </c>
      <c r="H96" s="96">
        <f t="shared" si="31"/>
        <v>147.07499999999999</v>
      </c>
      <c r="I96" s="97">
        <v>0</v>
      </c>
      <c r="J96" s="97"/>
      <c r="K96" s="97">
        <v>0</v>
      </c>
      <c r="L96" s="97">
        <v>1</v>
      </c>
      <c r="M96" s="97">
        <f>SUM(I96:L96)</f>
        <v>1</v>
      </c>
      <c r="N96" s="35"/>
      <c r="O96" s="40" t="s">
        <v>137</v>
      </c>
      <c r="P96" s="238">
        <f t="shared" si="32"/>
        <v>624375000</v>
      </c>
      <c r="Q96" s="16"/>
      <c r="S96" s="1" t="s">
        <v>593</v>
      </c>
    </row>
    <row r="97" spans="1:19" ht="14.25" customHeight="1" x14ac:dyDescent="0.3">
      <c r="A97" s="16"/>
      <c r="B97" s="14"/>
      <c r="C97" s="15"/>
      <c r="D97" s="26"/>
      <c r="E97" s="101" t="s">
        <v>184</v>
      </c>
      <c r="F97" s="96">
        <f>5%*D96</f>
        <v>13.875</v>
      </c>
      <c r="G97" s="97">
        <f>6%*D96</f>
        <v>16.649999999999999</v>
      </c>
      <c r="H97" s="96">
        <f>SUM(F97:G97)</f>
        <v>30.524999999999999</v>
      </c>
      <c r="I97" s="97"/>
      <c r="J97" s="97"/>
      <c r="K97" s="97"/>
      <c r="L97" s="97"/>
      <c r="M97" s="97"/>
      <c r="N97" s="35"/>
      <c r="O97" s="40"/>
      <c r="P97" s="238">
        <f t="shared" si="32"/>
        <v>74924999.999999985</v>
      </c>
      <c r="Q97" s="16"/>
      <c r="S97" s="1" t="s">
        <v>594</v>
      </c>
    </row>
    <row r="98" spans="1:19" ht="22.5" customHeight="1" x14ac:dyDescent="0.3">
      <c r="A98" s="16"/>
      <c r="B98" s="14" t="s">
        <v>59</v>
      </c>
      <c r="C98" s="15" t="s">
        <v>21</v>
      </c>
      <c r="D98" s="18">
        <v>162.94999999999999</v>
      </c>
      <c r="E98" s="101" t="s">
        <v>203</v>
      </c>
      <c r="F98" s="225">
        <f>5%*D98</f>
        <v>8.1474999999999991</v>
      </c>
      <c r="G98" s="225">
        <f>30%*D98</f>
        <v>48.884999999999998</v>
      </c>
      <c r="H98" s="96">
        <f t="shared" si="31"/>
        <v>57.032499999999999</v>
      </c>
      <c r="I98" s="97">
        <v>0</v>
      </c>
      <c r="J98" s="97"/>
      <c r="K98" s="97">
        <v>3</v>
      </c>
      <c r="L98" s="97">
        <v>3</v>
      </c>
      <c r="M98" s="97">
        <f>SUM(I98:L98)</f>
        <v>6</v>
      </c>
      <c r="N98" s="35"/>
      <c r="O98" s="36"/>
      <c r="P98" s="238">
        <f t="shared" si="32"/>
        <v>219982499.99999997</v>
      </c>
      <c r="Q98" s="16"/>
      <c r="S98" s="1" t="s">
        <v>595</v>
      </c>
    </row>
    <row r="99" spans="1:19" ht="24" customHeight="1" x14ac:dyDescent="0.3">
      <c r="A99" s="16"/>
      <c r="B99" s="14" t="s">
        <v>60</v>
      </c>
      <c r="C99" s="15" t="s">
        <v>43</v>
      </c>
      <c r="D99" s="26">
        <v>461.8</v>
      </c>
      <c r="E99" s="101" t="s">
        <v>221</v>
      </c>
      <c r="F99" s="96">
        <f>5%*D99</f>
        <v>23.090000000000003</v>
      </c>
      <c r="G99" s="97">
        <f>50%*D99</f>
        <v>230.9</v>
      </c>
      <c r="H99" s="96">
        <f t="shared" si="31"/>
        <v>253.99</v>
      </c>
      <c r="I99" s="97">
        <v>0</v>
      </c>
      <c r="J99" s="97"/>
      <c r="K99" s="97">
        <v>0</v>
      </c>
      <c r="L99" s="97">
        <v>2</v>
      </c>
      <c r="M99" s="97">
        <f>SUM(I99:L99)</f>
        <v>2</v>
      </c>
      <c r="N99" s="35"/>
      <c r="O99" s="36"/>
      <c r="P99" s="238">
        <f t="shared" si="32"/>
        <v>1039049999.9999999</v>
      </c>
      <c r="Q99" s="16"/>
    </row>
    <row r="100" spans="1:19" ht="20.25" customHeight="1" x14ac:dyDescent="0.3">
      <c r="A100" s="16"/>
      <c r="B100" s="14"/>
      <c r="C100" s="15"/>
      <c r="D100" s="26"/>
      <c r="E100" s="101" t="s">
        <v>184</v>
      </c>
      <c r="F100" s="96">
        <f>5%*D99</f>
        <v>23.090000000000003</v>
      </c>
      <c r="G100" s="96">
        <f>5%*D99</f>
        <v>23.090000000000003</v>
      </c>
      <c r="H100" s="96">
        <f>SUM(F100:G100)</f>
        <v>46.180000000000007</v>
      </c>
      <c r="I100" s="97"/>
      <c r="J100" s="97"/>
      <c r="K100" s="97"/>
      <c r="L100" s="97"/>
      <c r="M100" s="97"/>
      <c r="N100" s="35"/>
      <c r="O100" s="36"/>
      <c r="P100" s="238">
        <f t="shared" si="32"/>
        <v>103905000</v>
      </c>
      <c r="Q100" s="16"/>
    </row>
    <row r="101" spans="1:19" ht="23.25" customHeight="1" x14ac:dyDescent="0.3">
      <c r="A101" s="16"/>
      <c r="B101" s="14" t="s">
        <v>61</v>
      </c>
      <c r="C101" s="15" t="s">
        <v>44</v>
      </c>
      <c r="D101" s="26">
        <v>84.65</v>
      </c>
      <c r="E101" s="101" t="s">
        <v>203</v>
      </c>
      <c r="F101" s="26">
        <f>10%*D101</f>
        <v>8.4650000000000016</v>
      </c>
      <c r="G101" s="220">
        <f>40%*D101</f>
        <v>33.860000000000007</v>
      </c>
      <c r="H101" s="26">
        <f t="shared" si="31"/>
        <v>42.32500000000001</v>
      </c>
      <c r="I101" s="19">
        <v>0</v>
      </c>
      <c r="J101" s="19"/>
      <c r="K101" s="19">
        <v>3</v>
      </c>
      <c r="L101" s="19">
        <v>3</v>
      </c>
      <c r="M101" s="19">
        <f t="shared" ref="M101" si="33">SUM(I101:L101)</f>
        <v>6</v>
      </c>
      <c r="N101" s="35"/>
      <c r="O101" s="36"/>
      <c r="P101" s="238">
        <f t="shared" si="32"/>
        <v>152370000</v>
      </c>
      <c r="Q101" s="16"/>
    </row>
    <row r="102" spans="1:19" ht="18.75" customHeight="1" x14ac:dyDescent="0.3">
      <c r="A102" s="75"/>
      <c r="B102" s="72" t="s">
        <v>350</v>
      </c>
      <c r="C102" s="72"/>
      <c r="D102" s="73">
        <f>SUM(D88:D101)</f>
        <v>1613.8300000000002</v>
      </c>
      <c r="E102" s="74"/>
      <c r="F102" s="73">
        <f>SUM(F80:F101)</f>
        <v>175.51890000000003</v>
      </c>
      <c r="G102" s="83">
        <f>SUM(G80:G101)</f>
        <v>726.22300000000007</v>
      </c>
      <c r="H102" s="73">
        <f>SUM(H80:H101)</f>
        <v>901.74189999999999</v>
      </c>
      <c r="I102" s="83">
        <f>SUM(I88:I101)</f>
        <v>0</v>
      </c>
      <c r="J102" s="83">
        <f>SUM(J88:J101)</f>
        <v>0</v>
      </c>
      <c r="K102" s="83">
        <f>SUM(K88:K101)</f>
        <v>11</v>
      </c>
      <c r="L102" s="83">
        <f>SUM(L88:L101)</f>
        <v>40</v>
      </c>
      <c r="M102" s="83">
        <f>SUM(M86:M101)</f>
        <v>61</v>
      </c>
      <c r="N102" s="76"/>
      <c r="O102" s="77"/>
      <c r="P102" s="184">
        <f>SUM(P93:P101)</f>
        <v>2824031250</v>
      </c>
      <c r="Q102" s="75"/>
    </row>
    <row r="103" spans="1:19" ht="4.5" customHeight="1" x14ac:dyDescent="0.3">
      <c r="F103" s="2"/>
      <c r="G103" s="2"/>
      <c r="H103" s="2"/>
      <c r="I103" s="2"/>
      <c r="J103" s="2"/>
      <c r="K103" s="2"/>
      <c r="L103" s="2"/>
      <c r="M103" s="2"/>
    </row>
    <row r="104" spans="1:19" ht="16.5" customHeight="1" x14ac:dyDescent="0.3">
      <c r="F104" s="2"/>
      <c r="G104" s="2"/>
      <c r="H104" s="2"/>
      <c r="I104" s="2"/>
      <c r="J104" s="2" t="s">
        <v>648</v>
      </c>
      <c r="K104" s="2"/>
      <c r="L104" s="2"/>
      <c r="M104" s="2"/>
    </row>
    <row r="105" spans="1:19" ht="12" customHeight="1" x14ac:dyDescent="0.3">
      <c r="A105" s="395" t="s">
        <v>80</v>
      </c>
      <c r="B105" s="395"/>
      <c r="C105" s="395"/>
      <c r="D105" s="395"/>
    </row>
    <row r="106" spans="1:19" x14ac:dyDescent="0.3">
      <c r="A106" s="395" t="s">
        <v>81</v>
      </c>
      <c r="B106" s="395"/>
      <c r="C106" s="395"/>
      <c r="D106" s="395"/>
      <c r="J106" s="1" t="s">
        <v>85</v>
      </c>
    </row>
    <row r="107" spans="1:19" x14ac:dyDescent="0.3">
      <c r="A107" s="395" t="s">
        <v>82</v>
      </c>
      <c r="B107" s="395"/>
      <c r="C107" s="395"/>
      <c r="D107" s="395"/>
      <c r="J107" s="3" t="s">
        <v>86</v>
      </c>
      <c r="K107" s="1" t="s">
        <v>175</v>
      </c>
      <c r="O107" s="1" t="s">
        <v>90</v>
      </c>
    </row>
    <row r="108" spans="1:19" x14ac:dyDescent="0.3">
      <c r="A108" s="395" t="s">
        <v>83</v>
      </c>
      <c r="B108" s="395"/>
      <c r="C108" s="395"/>
      <c r="D108" s="395"/>
      <c r="K108" s="1" t="s">
        <v>651</v>
      </c>
    </row>
    <row r="109" spans="1:19" ht="9.75" customHeight="1" x14ac:dyDescent="0.3"/>
    <row r="110" spans="1:19" ht="14.25" customHeight="1" x14ac:dyDescent="0.3">
      <c r="J110" s="3" t="s">
        <v>88</v>
      </c>
      <c r="K110" s="1" t="s">
        <v>87</v>
      </c>
      <c r="O110" s="1" t="s">
        <v>90</v>
      </c>
    </row>
    <row r="111" spans="1:19" x14ac:dyDescent="0.3">
      <c r="K111" s="1" t="s">
        <v>91</v>
      </c>
    </row>
    <row r="112" spans="1:19" ht="13.5" customHeight="1" x14ac:dyDescent="0.3">
      <c r="A112" s="398" t="s">
        <v>175</v>
      </c>
      <c r="B112" s="398"/>
      <c r="C112" s="398"/>
      <c r="D112" s="398"/>
    </row>
    <row r="113" spans="1:15" x14ac:dyDescent="0.3">
      <c r="A113" s="395" t="s">
        <v>190</v>
      </c>
      <c r="B113" s="395"/>
      <c r="C113" s="395"/>
      <c r="D113" s="395"/>
      <c r="J113" s="1" t="s">
        <v>254</v>
      </c>
      <c r="K113" s="1" t="s">
        <v>89</v>
      </c>
      <c r="O113" s="1" t="s">
        <v>90</v>
      </c>
    </row>
    <row r="114" spans="1:15" x14ac:dyDescent="0.3">
      <c r="K114" s="1" t="s">
        <v>92</v>
      </c>
    </row>
    <row r="115" spans="1:15" ht="8.25" customHeight="1" x14ac:dyDescent="0.3"/>
    <row r="116" spans="1:15" x14ac:dyDescent="0.3">
      <c r="J116" s="241" t="s">
        <v>265</v>
      </c>
      <c r="K116" s="1" t="s">
        <v>652</v>
      </c>
      <c r="O116" s="1" t="s">
        <v>90</v>
      </c>
    </row>
    <row r="117" spans="1:15" ht="14.25" customHeight="1" x14ac:dyDescent="0.3">
      <c r="J117" s="241"/>
      <c r="K117" s="1" t="s">
        <v>653</v>
      </c>
    </row>
    <row r="118" spans="1:15" ht="5.25" customHeight="1" x14ac:dyDescent="0.3">
      <c r="J118" s="241"/>
    </row>
    <row r="119" spans="1:15" x14ac:dyDescent="0.3">
      <c r="J119" s="241" t="s">
        <v>650</v>
      </c>
      <c r="K119" s="1" t="s">
        <v>255</v>
      </c>
      <c r="O119" s="1" t="s">
        <v>90</v>
      </c>
    </row>
    <row r="120" spans="1:15" x14ac:dyDescent="0.3">
      <c r="K120" s="1" t="s">
        <v>654</v>
      </c>
    </row>
  </sheetData>
  <mergeCells count="24">
    <mergeCell ref="O32:O38"/>
    <mergeCell ref="A1:Q1"/>
    <mergeCell ref="A2:Q2"/>
    <mergeCell ref="A6:A7"/>
    <mergeCell ref="B6:C6"/>
    <mergeCell ref="D6:D7"/>
    <mergeCell ref="E6:E7"/>
    <mergeCell ref="F6:H6"/>
    <mergeCell ref="I6:M6"/>
    <mergeCell ref="N6:O7"/>
    <mergeCell ref="P6:P7"/>
    <mergeCell ref="Q6:Q7"/>
    <mergeCell ref="B7:C7"/>
    <mergeCell ref="B24:C24"/>
    <mergeCell ref="O26:O29"/>
    <mergeCell ref="B30:C30"/>
    <mergeCell ref="A112:D112"/>
    <mergeCell ref="A113:D113"/>
    <mergeCell ref="O40:O52"/>
    <mergeCell ref="O54:O59"/>
    <mergeCell ref="A105:D105"/>
    <mergeCell ref="A106:D106"/>
    <mergeCell ref="A107:D107"/>
    <mergeCell ref="A108:D108"/>
  </mergeCells>
  <pageMargins left="0.36" right="0.70866141732283472" top="0.74803149606299213" bottom="0.74803149606299213" header="0.31496062992125984" footer="0.31496062992125984"/>
  <pageSetup paperSize="5" scale="90" orientation="landscape" horizontalDpi="4294967293"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T120"/>
  <sheetViews>
    <sheetView view="pageBreakPreview" topLeftCell="B88" zoomScale="96" zoomScaleNormal="100" zoomScaleSheetLayoutView="96" workbookViewId="0">
      <selection activeCell="P101" sqref="P101"/>
    </sheetView>
  </sheetViews>
  <sheetFormatPr defaultColWidth="9.1796875" defaultRowHeight="14" x14ac:dyDescent="0.3"/>
  <cols>
    <col min="1" max="1" width="4.81640625" style="1" customWidth="1"/>
    <col min="2" max="2" width="2.1796875" style="1" customWidth="1"/>
    <col min="3" max="3" width="16.26953125" style="1" customWidth="1"/>
    <col min="4" max="4" width="12" style="1" customWidth="1"/>
    <col min="5" max="5" width="30.54296875" style="1" customWidth="1"/>
    <col min="6" max="6" width="11" style="1" bestFit="1" customWidth="1"/>
    <col min="7" max="7" width="8.81640625" style="1" customWidth="1"/>
    <col min="8" max="8" width="9" style="1" customWidth="1"/>
    <col min="9" max="9" width="6.7265625" style="1" customWidth="1"/>
    <col min="10" max="10" width="7" style="1" customWidth="1"/>
    <col min="11" max="12" width="7.54296875" style="1" customWidth="1"/>
    <col min="13" max="13" width="6.81640625" style="1" bestFit="1" customWidth="1"/>
    <col min="14" max="14" width="2" style="1" customWidth="1"/>
    <col min="15" max="15" width="17" style="1" customWidth="1"/>
    <col min="16" max="16" width="12.26953125" style="1" customWidth="1"/>
    <col min="17" max="17" width="8.81640625" style="1" customWidth="1"/>
    <col min="18" max="19" width="9.1796875" style="1"/>
    <col min="20" max="20" width="10.7265625" style="1" customWidth="1"/>
    <col min="21" max="16384" width="9.1796875" style="1"/>
  </cols>
  <sheetData>
    <row r="1" spans="1:20" x14ac:dyDescent="0.3">
      <c r="A1" s="385" t="s">
        <v>260</v>
      </c>
      <c r="B1" s="385"/>
      <c r="C1" s="385"/>
      <c r="D1" s="385"/>
      <c r="E1" s="385"/>
      <c r="F1" s="385"/>
      <c r="G1" s="385"/>
      <c r="H1" s="385"/>
      <c r="I1" s="385"/>
      <c r="J1" s="385"/>
      <c r="K1" s="385"/>
      <c r="L1" s="385"/>
      <c r="M1" s="385"/>
      <c r="N1" s="385"/>
      <c r="O1" s="385"/>
      <c r="P1" s="385"/>
      <c r="Q1" s="385"/>
    </row>
    <row r="2" spans="1:20" ht="14.25" customHeight="1" x14ac:dyDescent="0.3">
      <c r="A2" s="385" t="s">
        <v>646</v>
      </c>
      <c r="B2" s="385"/>
      <c r="C2" s="385"/>
      <c r="D2" s="385"/>
      <c r="E2" s="385"/>
      <c r="F2" s="385"/>
      <c r="G2" s="385"/>
      <c r="H2" s="385"/>
      <c r="I2" s="385"/>
      <c r="J2" s="385"/>
      <c r="K2" s="385"/>
      <c r="L2" s="385"/>
      <c r="M2" s="385"/>
      <c r="N2" s="385"/>
      <c r="O2" s="385"/>
      <c r="P2" s="385"/>
      <c r="Q2" s="385"/>
    </row>
    <row r="3" spans="1:20" ht="14.25" customHeight="1" x14ac:dyDescent="0.3">
      <c r="A3" s="1" t="s">
        <v>1</v>
      </c>
      <c r="C3" s="1" t="s">
        <v>603</v>
      </c>
    </row>
    <row r="4" spans="1:20" ht="14.25" customHeight="1" x14ac:dyDescent="0.3">
      <c r="A4" s="1" t="s">
        <v>2</v>
      </c>
      <c r="C4" s="1" t="s">
        <v>657</v>
      </c>
      <c r="D4" s="4"/>
    </row>
    <row r="5" spans="1:20" ht="6" customHeight="1" x14ac:dyDescent="0.3"/>
    <row r="6" spans="1:20" x14ac:dyDescent="0.3">
      <c r="A6" s="386" t="s">
        <v>3</v>
      </c>
      <c r="B6" s="388" t="s">
        <v>4</v>
      </c>
      <c r="C6" s="388"/>
      <c r="D6" s="391" t="s">
        <v>259</v>
      </c>
      <c r="E6" s="391" t="s">
        <v>7</v>
      </c>
      <c r="F6" s="393" t="s">
        <v>170</v>
      </c>
      <c r="G6" s="393"/>
      <c r="H6" s="393"/>
      <c r="I6" s="393" t="s">
        <v>12</v>
      </c>
      <c r="J6" s="393"/>
      <c r="K6" s="393"/>
      <c r="L6" s="393"/>
      <c r="M6" s="393"/>
      <c r="N6" s="391" t="s">
        <v>17</v>
      </c>
      <c r="O6" s="391"/>
      <c r="P6" s="391" t="s">
        <v>258</v>
      </c>
      <c r="Q6" s="386" t="s">
        <v>192</v>
      </c>
    </row>
    <row r="7" spans="1:20" ht="28.5" customHeight="1" x14ac:dyDescent="0.3">
      <c r="A7" s="387"/>
      <c r="B7" s="394" t="s">
        <v>5</v>
      </c>
      <c r="C7" s="394"/>
      <c r="D7" s="392"/>
      <c r="E7" s="392"/>
      <c r="F7" s="147" t="s">
        <v>9</v>
      </c>
      <c r="G7" s="147" t="s">
        <v>10</v>
      </c>
      <c r="H7" s="147" t="s">
        <v>11</v>
      </c>
      <c r="I7" s="147" t="s">
        <v>16</v>
      </c>
      <c r="J7" s="147" t="s">
        <v>13</v>
      </c>
      <c r="K7" s="147" t="s">
        <v>14</v>
      </c>
      <c r="L7" s="148" t="s">
        <v>257</v>
      </c>
      <c r="M7" s="147" t="s">
        <v>11</v>
      </c>
      <c r="N7" s="392"/>
      <c r="O7" s="392"/>
      <c r="P7" s="392"/>
      <c r="Q7" s="387"/>
    </row>
    <row r="8" spans="1:20" ht="9" customHeight="1" x14ac:dyDescent="0.3">
      <c r="A8" s="5"/>
      <c r="B8" s="8"/>
      <c r="C8" s="10"/>
      <c r="D8" s="5"/>
      <c r="E8" s="5"/>
      <c r="F8" s="5"/>
      <c r="G8" s="5"/>
      <c r="H8" s="5"/>
      <c r="I8" s="5"/>
      <c r="J8" s="5"/>
      <c r="K8" s="5"/>
      <c r="L8" s="5"/>
      <c r="M8" s="5"/>
      <c r="N8" s="8"/>
      <c r="O8" s="10"/>
      <c r="P8" s="10"/>
      <c r="Q8" s="5"/>
    </row>
    <row r="9" spans="1:20" ht="17.25" customHeight="1" x14ac:dyDescent="0.3">
      <c r="A9" s="13">
        <v>1</v>
      </c>
      <c r="B9" s="14" t="s">
        <v>20</v>
      </c>
      <c r="C9" s="15"/>
      <c r="D9" s="16"/>
      <c r="E9" s="47"/>
      <c r="F9" s="16"/>
      <c r="G9" s="16"/>
      <c r="H9" s="16"/>
      <c r="I9" s="16"/>
      <c r="J9" s="16"/>
      <c r="K9" s="16"/>
      <c r="L9" s="16"/>
      <c r="M9" s="16"/>
      <c r="N9" s="35"/>
      <c r="O9" s="36"/>
      <c r="P9" s="226"/>
      <c r="Q9" s="16"/>
    </row>
    <row r="10" spans="1:20" ht="28.5" customHeight="1" x14ac:dyDescent="0.3">
      <c r="A10" s="13"/>
      <c r="B10" s="17" t="s">
        <v>57</v>
      </c>
      <c r="C10" s="15" t="s">
        <v>21</v>
      </c>
      <c r="D10" s="18">
        <v>430.06</v>
      </c>
      <c r="E10" s="49" t="s">
        <v>649</v>
      </c>
      <c r="F10" s="26">
        <f>2%*D10</f>
        <v>8.6012000000000004</v>
      </c>
      <c r="G10" s="26">
        <f>0.9%*D10</f>
        <v>3.8705400000000005</v>
      </c>
      <c r="H10" s="26">
        <f>SUM(F10:G10)</f>
        <v>12.47174</v>
      </c>
      <c r="I10" s="19">
        <v>0</v>
      </c>
      <c r="J10" s="19"/>
      <c r="K10" s="19"/>
      <c r="L10" s="19">
        <v>5</v>
      </c>
      <c r="M10" s="20">
        <f>SUM(I10:L10)</f>
        <v>5</v>
      </c>
      <c r="N10" s="37"/>
      <c r="O10" s="36"/>
      <c r="P10" s="227">
        <f t="shared" ref="P10:P23" si="0">G10*0.261*12%*0</f>
        <v>0</v>
      </c>
      <c r="Q10" s="16"/>
      <c r="S10" s="1" t="s">
        <v>333</v>
      </c>
      <c r="T10" s="1" t="s">
        <v>341</v>
      </c>
    </row>
    <row r="11" spans="1:20" ht="18.75" customHeight="1" x14ac:dyDescent="0.3">
      <c r="A11" s="13"/>
      <c r="B11" s="14"/>
      <c r="C11" s="15"/>
      <c r="D11" s="18"/>
      <c r="E11" s="47" t="s">
        <v>37</v>
      </c>
      <c r="F11" s="26">
        <f>2%*D10</f>
        <v>8.6012000000000004</v>
      </c>
      <c r="G11" s="26">
        <f>0.5%*D10</f>
        <v>2.1503000000000001</v>
      </c>
      <c r="H11" s="26">
        <f>SUM(F11:G11)</f>
        <v>10.7515</v>
      </c>
      <c r="I11" s="19">
        <v>0</v>
      </c>
      <c r="J11" s="19"/>
      <c r="K11" s="19"/>
      <c r="L11" s="19">
        <v>6</v>
      </c>
      <c r="M11" s="20">
        <f t="shared" ref="M11:M23" si="1">SUM(I11:L11)</f>
        <v>6</v>
      </c>
      <c r="N11" s="37" t="s">
        <v>51</v>
      </c>
      <c r="O11" s="38" t="s">
        <v>50</v>
      </c>
      <c r="P11" s="227">
        <f t="shared" si="0"/>
        <v>0</v>
      </c>
      <c r="Q11" s="16"/>
    </row>
    <row r="12" spans="1:20" ht="18.75" customHeight="1" x14ac:dyDescent="0.3">
      <c r="A12" s="13"/>
      <c r="B12" s="14"/>
      <c r="C12" s="15"/>
      <c r="D12" s="18"/>
      <c r="E12" s="47" t="s">
        <v>38</v>
      </c>
      <c r="F12" s="26">
        <f>1%*D10</f>
        <v>4.3006000000000002</v>
      </c>
      <c r="G12" s="26">
        <f>4%*D10</f>
        <v>17.202400000000001</v>
      </c>
      <c r="H12" s="26">
        <f>SUM(F12:G12)</f>
        <v>21.503</v>
      </c>
      <c r="I12" s="19">
        <v>0</v>
      </c>
      <c r="J12" s="19"/>
      <c r="K12" s="19"/>
      <c r="L12" s="19">
        <v>7</v>
      </c>
      <c r="M12" s="20">
        <f t="shared" si="1"/>
        <v>7</v>
      </c>
      <c r="N12" s="37" t="s">
        <v>51</v>
      </c>
      <c r="O12" s="36" t="s">
        <v>632</v>
      </c>
      <c r="P12" s="227">
        <f t="shared" si="0"/>
        <v>0</v>
      </c>
      <c r="Q12" s="16"/>
      <c r="S12" s="1" t="s">
        <v>343</v>
      </c>
    </row>
    <row r="13" spans="1:20" ht="26.25" customHeight="1" x14ac:dyDescent="0.3">
      <c r="A13" s="13"/>
      <c r="B13" s="14"/>
      <c r="C13" s="15"/>
      <c r="D13" s="18"/>
      <c r="E13" s="48" t="s">
        <v>39</v>
      </c>
      <c r="F13" s="96">
        <f>10%*D10</f>
        <v>43.006</v>
      </c>
      <c r="G13" s="96">
        <f>6%*D10</f>
        <v>25.803599999999999</v>
      </c>
      <c r="H13" s="96">
        <f>SUM(F13:G13)</f>
        <v>68.809600000000003</v>
      </c>
      <c r="I13" s="97">
        <v>0</v>
      </c>
      <c r="J13" s="97">
        <v>0</v>
      </c>
      <c r="K13" s="97">
        <v>0</v>
      </c>
      <c r="L13" s="97">
        <v>3</v>
      </c>
      <c r="M13" s="121">
        <f t="shared" si="1"/>
        <v>3</v>
      </c>
      <c r="N13" s="39" t="s">
        <v>51</v>
      </c>
      <c r="O13" s="40" t="s">
        <v>48</v>
      </c>
      <c r="P13" s="227">
        <f t="shared" si="0"/>
        <v>0</v>
      </c>
      <c r="Q13" s="16"/>
      <c r="S13" s="1" t="s">
        <v>342</v>
      </c>
    </row>
    <row r="14" spans="1:20" ht="18.75" customHeight="1" x14ac:dyDescent="0.3">
      <c r="A14" s="13"/>
      <c r="B14" s="17" t="s">
        <v>58</v>
      </c>
      <c r="C14" s="15" t="s">
        <v>22</v>
      </c>
      <c r="D14" s="18">
        <v>856.82</v>
      </c>
      <c r="E14" s="47" t="s">
        <v>36</v>
      </c>
      <c r="F14" s="26">
        <f>2%*D14</f>
        <v>17.136400000000002</v>
      </c>
      <c r="G14" s="26">
        <f>7%*D14</f>
        <v>59.97740000000001</v>
      </c>
      <c r="H14" s="26">
        <f>SUM(F14:G14)</f>
        <v>77.113800000000012</v>
      </c>
      <c r="I14" s="19">
        <v>0</v>
      </c>
      <c r="J14" s="19"/>
      <c r="K14" s="19"/>
      <c r="L14" s="19">
        <v>6</v>
      </c>
      <c r="M14" s="20">
        <f t="shared" si="1"/>
        <v>6</v>
      </c>
      <c r="N14" s="35" t="s">
        <v>51</v>
      </c>
      <c r="O14" s="41" t="s">
        <v>137</v>
      </c>
      <c r="P14" s="227">
        <f t="shared" si="0"/>
        <v>0</v>
      </c>
      <c r="Q14" s="16"/>
    </row>
    <row r="15" spans="1:20" ht="18.75" customHeight="1" x14ac:dyDescent="0.3">
      <c r="A15" s="13"/>
      <c r="B15" s="14"/>
      <c r="C15" s="15"/>
      <c r="D15" s="26"/>
      <c r="E15" s="47" t="s">
        <v>37</v>
      </c>
      <c r="F15" s="26">
        <f>2%*D14</f>
        <v>17.136400000000002</v>
      </c>
      <c r="G15" s="26">
        <f>2%*D14</f>
        <v>17.136400000000002</v>
      </c>
      <c r="H15" s="26">
        <f t="shared" ref="H15:H17" si="2">SUM(F15:G15)</f>
        <v>34.272800000000004</v>
      </c>
      <c r="I15" s="19">
        <v>0</v>
      </c>
      <c r="J15" s="19"/>
      <c r="K15" s="19">
        <v>5</v>
      </c>
      <c r="L15" s="19">
        <v>6</v>
      </c>
      <c r="M15" s="20">
        <f t="shared" si="1"/>
        <v>11</v>
      </c>
      <c r="N15" s="35"/>
      <c r="O15" s="36"/>
      <c r="P15" s="227">
        <f t="shared" si="0"/>
        <v>0</v>
      </c>
      <c r="Q15" s="16"/>
      <c r="S15" s="1" t="s">
        <v>344</v>
      </c>
    </row>
    <row r="16" spans="1:20" ht="18.75" customHeight="1" x14ac:dyDescent="0.3">
      <c r="A16" s="13"/>
      <c r="B16" s="14"/>
      <c r="C16" s="15"/>
      <c r="D16" s="26"/>
      <c r="E16" s="47" t="s">
        <v>38</v>
      </c>
      <c r="F16" s="26">
        <f>3%*D14</f>
        <v>25.704599999999999</v>
      </c>
      <c r="G16" s="26">
        <f>3%*D14</f>
        <v>25.704599999999999</v>
      </c>
      <c r="H16" s="26">
        <f t="shared" si="2"/>
        <v>51.409199999999998</v>
      </c>
      <c r="I16" s="19">
        <v>0</v>
      </c>
      <c r="J16" s="19"/>
      <c r="K16" s="19"/>
      <c r="L16" s="19">
        <v>6</v>
      </c>
      <c r="M16" s="20">
        <f t="shared" si="1"/>
        <v>6</v>
      </c>
      <c r="N16" s="35"/>
      <c r="O16" s="36"/>
      <c r="P16" s="227">
        <f t="shared" si="0"/>
        <v>0</v>
      </c>
      <c r="Q16" s="16"/>
      <c r="S16" s="1" t="s">
        <v>345</v>
      </c>
    </row>
    <row r="17" spans="1:20" ht="21" customHeight="1" x14ac:dyDescent="0.3">
      <c r="A17" s="54"/>
      <c r="B17" s="55"/>
      <c r="C17" s="56"/>
      <c r="D17" s="57"/>
      <c r="E17" s="58" t="s">
        <v>39</v>
      </c>
      <c r="F17" s="119">
        <f>5%*D14</f>
        <v>42.841000000000008</v>
      </c>
      <c r="G17" s="119">
        <f>3%*D14</f>
        <v>25.704599999999999</v>
      </c>
      <c r="H17" s="119">
        <f t="shared" si="2"/>
        <v>68.545600000000007</v>
      </c>
      <c r="I17" s="59">
        <v>0</v>
      </c>
      <c r="J17" s="59">
        <v>0</v>
      </c>
      <c r="K17" s="59">
        <v>0</v>
      </c>
      <c r="L17" s="59">
        <v>2</v>
      </c>
      <c r="M17" s="60">
        <f t="shared" si="1"/>
        <v>2</v>
      </c>
      <c r="N17" s="42"/>
      <c r="O17" s="38"/>
      <c r="P17" s="228">
        <f t="shared" si="0"/>
        <v>0</v>
      </c>
      <c r="Q17" s="29"/>
    </row>
    <row r="18" spans="1:20" ht="18.75" customHeight="1" x14ac:dyDescent="0.3">
      <c r="A18" s="54"/>
      <c r="B18" s="55" t="s">
        <v>59</v>
      </c>
      <c r="C18" s="56" t="s">
        <v>27</v>
      </c>
      <c r="D18" s="18">
        <v>113.45</v>
      </c>
      <c r="E18" s="47" t="s">
        <v>36</v>
      </c>
      <c r="F18" s="26">
        <f>20%*D18</f>
        <v>22.69</v>
      </c>
      <c r="G18" s="26">
        <f>3%*F18</f>
        <v>0.68069999999999997</v>
      </c>
      <c r="H18" s="26">
        <f>SUM(F18:G18)</f>
        <v>23.370700000000003</v>
      </c>
      <c r="I18" s="19">
        <v>0</v>
      </c>
      <c r="J18" s="19"/>
      <c r="K18" s="19"/>
      <c r="L18" s="19"/>
      <c r="M18" s="20">
        <f t="shared" si="1"/>
        <v>0</v>
      </c>
      <c r="N18" s="42"/>
      <c r="O18" s="38"/>
      <c r="P18" s="227">
        <f t="shared" si="0"/>
        <v>0</v>
      </c>
      <c r="Q18" s="29"/>
    </row>
    <row r="19" spans="1:20" ht="19.5" customHeight="1" x14ac:dyDescent="0.3">
      <c r="A19" s="54"/>
      <c r="B19" s="55"/>
      <c r="C19" s="56"/>
      <c r="D19" s="26"/>
      <c r="E19" s="47" t="s">
        <v>37</v>
      </c>
      <c r="F19" s="26">
        <f>1%*D18</f>
        <v>1.1345000000000001</v>
      </c>
      <c r="G19" s="26">
        <f>5%*D18</f>
        <v>5.6725000000000003</v>
      </c>
      <c r="H19" s="26">
        <f t="shared" ref="H19:H20" si="3">SUM(F19:G19)</f>
        <v>6.8070000000000004</v>
      </c>
      <c r="I19" s="19">
        <v>0</v>
      </c>
      <c r="J19" s="19"/>
      <c r="K19" s="19"/>
      <c r="L19" s="19">
        <v>2</v>
      </c>
      <c r="M19" s="20">
        <f t="shared" si="1"/>
        <v>2</v>
      </c>
      <c r="N19" s="42"/>
      <c r="O19" s="38"/>
      <c r="P19" s="227">
        <f t="shared" si="0"/>
        <v>0</v>
      </c>
      <c r="Q19" s="29"/>
    </row>
    <row r="20" spans="1:20" ht="17.25" customHeight="1" x14ac:dyDescent="0.3">
      <c r="A20" s="54"/>
      <c r="B20" s="55"/>
      <c r="C20" s="56"/>
      <c r="D20" s="26"/>
      <c r="E20" s="47" t="s">
        <v>38</v>
      </c>
      <c r="F20" s="26">
        <f>2%*D18</f>
        <v>2.2690000000000001</v>
      </c>
      <c r="G20" s="26">
        <f>3%*D18</f>
        <v>3.4034999999999997</v>
      </c>
      <c r="H20" s="26">
        <f t="shared" si="3"/>
        <v>5.6724999999999994</v>
      </c>
      <c r="I20" s="19">
        <v>0</v>
      </c>
      <c r="J20" s="19"/>
      <c r="K20" s="19"/>
      <c r="L20" s="19">
        <v>2</v>
      </c>
      <c r="M20" s="20">
        <f t="shared" si="1"/>
        <v>2</v>
      </c>
      <c r="N20" s="42"/>
      <c r="O20" s="38"/>
      <c r="P20" s="227">
        <f t="shared" si="0"/>
        <v>0</v>
      </c>
      <c r="Q20" s="29"/>
    </row>
    <row r="21" spans="1:20" ht="21.75" customHeight="1" x14ac:dyDescent="0.3">
      <c r="A21" s="13"/>
      <c r="B21" s="17" t="s">
        <v>60</v>
      </c>
      <c r="C21" s="15" t="s">
        <v>42</v>
      </c>
      <c r="D21" s="18">
        <v>527.28</v>
      </c>
      <c r="E21" s="47" t="s">
        <v>36</v>
      </c>
      <c r="F21" s="26">
        <f>30%*D18</f>
        <v>34.034999999999997</v>
      </c>
      <c r="G21" s="26">
        <f>4%*D21</f>
        <v>21.091200000000001</v>
      </c>
      <c r="H21" s="26">
        <f>SUM(F21:G21)</f>
        <v>55.126199999999997</v>
      </c>
      <c r="I21" s="19">
        <v>0</v>
      </c>
      <c r="J21" s="19"/>
      <c r="K21" s="19"/>
      <c r="L21" s="19">
        <v>5</v>
      </c>
      <c r="M21" s="20">
        <f t="shared" si="1"/>
        <v>5</v>
      </c>
      <c r="N21" s="35"/>
      <c r="O21" s="36"/>
      <c r="P21" s="227">
        <f t="shared" si="0"/>
        <v>0</v>
      </c>
      <c r="Q21" s="29"/>
    </row>
    <row r="22" spans="1:20" ht="18.75" customHeight="1" x14ac:dyDescent="0.3">
      <c r="A22" s="13"/>
      <c r="B22" s="14"/>
      <c r="C22" s="15"/>
      <c r="D22" s="26"/>
      <c r="E22" s="47" t="s">
        <v>37</v>
      </c>
      <c r="F22" s="26">
        <f>35%*D21</f>
        <v>184.54799999999997</v>
      </c>
      <c r="G22" s="26">
        <f>4%*D21</f>
        <v>21.091200000000001</v>
      </c>
      <c r="H22" s="26">
        <f t="shared" ref="H22:H23" si="4">SUM(F22:G22)</f>
        <v>205.63919999999996</v>
      </c>
      <c r="I22" s="19">
        <v>0</v>
      </c>
      <c r="J22" s="19"/>
      <c r="K22" s="19"/>
      <c r="L22" s="19">
        <v>5</v>
      </c>
      <c r="M22" s="20">
        <f t="shared" si="1"/>
        <v>5</v>
      </c>
      <c r="N22" s="35"/>
      <c r="O22" s="36"/>
      <c r="P22" s="227">
        <f t="shared" si="0"/>
        <v>0</v>
      </c>
      <c r="Q22" s="29"/>
    </row>
    <row r="23" spans="1:20" ht="18" customHeight="1" x14ac:dyDescent="0.3">
      <c r="A23" s="13"/>
      <c r="B23" s="14"/>
      <c r="C23" s="15"/>
      <c r="D23" s="26"/>
      <c r="E23" s="47" t="s">
        <v>38</v>
      </c>
      <c r="F23" s="26">
        <f>1%*D21</f>
        <v>5.2728000000000002</v>
      </c>
      <c r="G23" s="26">
        <f>7%*D21</f>
        <v>36.909600000000005</v>
      </c>
      <c r="H23" s="26">
        <f t="shared" si="4"/>
        <v>42.182400000000001</v>
      </c>
      <c r="I23" s="19">
        <v>0</v>
      </c>
      <c r="J23" s="19"/>
      <c r="K23" s="19"/>
      <c r="L23" s="19">
        <v>3</v>
      </c>
      <c r="M23" s="20">
        <f t="shared" si="1"/>
        <v>3</v>
      </c>
      <c r="N23" s="80"/>
      <c r="O23" s="81"/>
      <c r="P23" s="227">
        <f t="shared" si="0"/>
        <v>0</v>
      </c>
      <c r="Q23" s="88"/>
    </row>
    <row r="24" spans="1:20" ht="24" customHeight="1" x14ac:dyDescent="0.3">
      <c r="A24" s="89"/>
      <c r="B24" s="402" t="s">
        <v>325</v>
      </c>
      <c r="C24" s="403"/>
      <c r="D24" s="73">
        <f>SUM(D9:D17)</f>
        <v>1286.8800000000001</v>
      </c>
      <c r="E24" s="74"/>
      <c r="F24" s="118">
        <f>SUM(F9:F17)</f>
        <v>167.32740000000001</v>
      </c>
      <c r="G24" s="118">
        <f>SUM(G9:G17)</f>
        <v>177.54984000000002</v>
      </c>
      <c r="H24" s="118">
        <f>SUM(H9:H17)</f>
        <v>344.87724000000003</v>
      </c>
      <c r="I24" s="75">
        <f>SUM(I9:I17)</f>
        <v>0</v>
      </c>
      <c r="J24" s="75">
        <f>SUM(J9:J17)</f>
        <v>0</v>
      </c>
      <c r="K24" s="75">
        <f>SUM(K8:K23)</f>
        <v>5</v>
      </c>
      <c r="L24" s="160">
        <f>SUM(L10:L23)</f>
        <v>58</v>
      </c>
      <c r="M24" s="75">
        <f>SUM(M9:M17)</f>
        <v>46</v>
      </c>
      <c r="N24" s="76"/>
      <c r="O24" s="77"/>
      <c r="P24" s="229">
        <f>SUM(P10:P23)</f>
        <v>0</v>
      </c>
      <c r="Q24" s="75"/>
    </row>
    <row r="25" spans="1:20" ht="17.25" customHeight="1" x14ac:dyDescent="0.3">
      <c r="A25" s="63">
        <v>2</v>
      </c>
      <c r="B25" s="64" t="s">
        <v>23</v>
      </c>
      <c r="C25" s="65"/>
      <c r="D25" s="66"/>
      <c r="E25" s="67"/>
      <c r="F25" s="68"/>
      <c r="G25" s="68"/>
      <c r="H25" s="68"/>
      <c r="I25" s="68"/>
      <c r="J25" s="68"/>
      <c r="K25" s="68"/>
      <c r="L25" s="68"/>
      <c r="M25" s="68"/>
      <c r="N25" s="69"/>
      <c r="O25" s="70"/>
      <c r="P25" s="230"/>
      <c r="Q25" s="68"/>
      <c r="S25" s="1" t="s">
        <v>333</v>
      </c>
    </row>
    <row r="26" spans="1:20" ht="18.75" customHeight="1" x14ac:dyDescent="0.3">
      <c r="A26" s="13"/>
      <c r="B26" s="14" t="s">
        <v>57</v>
      </c>
      <c r="C26" s="15" t="s">
        <v>22</v>
      </c>
      <c r="D26" s="26">
        <v>203.28</v>
      </c>
      <c r="E26" s="47" t="s">
        <v>629</v>
      </c>
      <c r="F26" s="19">
        <f>20%*D26</f>
        <v>40.656000000000006</v>
      </c>
      <c r="G26" s="224">
        <f>3%*D26</f>
        <v>6.0983999999999998</v>
      </c>
      <c r="H26" s="19">
        <f t="shared" ref="H26" si="5">SUM(F26:G26)</f>
        <v>46.754400000000004</v>
      </c>
      <c r="I26" s="19">
        <v>0</v>
      </c>
      <c r="J26" s="19">
        <v>0</v>
      </c>
      <c r="K26" s="19">
        <v>0</v>
      </c>
      <c r="L26" s="19">
        <v>2</v>
      </c>
      <c r="M26" s="20">
        <f t="shared" ref="M26:M29" si="6">SUM(I26:L26)</f>
        <v>2</v>
      </c>
      <c r="N26" s="37" t="s">
        <v>51</v>
      </c>
      <c r="O26" s="404" t="s">
        <v>633</v>
      </c>
      <c r="P26" s="231">
        <f>G26*0.52*20%*19000000</f>
        <v>12050438.4</v>
      </c>
      <c r="Q26" s="16"/>
      <c r="S26" s="1" t="s">
        <v>659</v>
      </c>
      <c r="T26" s="1" t="s">
        <v>661</v>
      </c>
    </row>
    <row r="27" spans="1:20" ht="24.75" customHeight="1" x14ac:dyDescent="0.3">
      <c r="A27" s="54"/>
      <c r="B27" s="55" t="s">
        <v>58</v>
      </c>
      <c r="C27" s="56" t="s">
        <v>42</v>
      </c>
      <c r="D27" s="57">
        <v>57</v>
      </c>
      <c r="E27" s="47" t="s">
        <v>629</v>
      </c>
      <c r="F27" s="19">
        <f>10%*D27</f>
        <v>5.7</v>
      </c>
      <c r="G27" s="224">
        <f>2%*D26</f>
        <v>4.0655999999999999</v>
      </c>
      <c r="H27" s="19">
        <f t="shared" ref="H27" si="7">SUM(F27:G27)</f>
        <v>9.7655999999999992</v>
      </c>
      <c r="I27" s="19">
        <v>0</v>
      </c>
      <c r="J27" s="19"/>
      <c r="K27" s="19">
        <v>0</v>
      </c>
      <c r="L27" s="19">
        <v>0</v>
      </c>
      <c r="M27" s="20">
        <f t="shared" si="6"/>
        <v>0</v>
      </c>
      <c r="N27" s="37"/>
      <c r="O27" s="404"/>
      <c r="P27" s="231">
        <f>G27*0.52*20%*19000000</f>
        <v>8033625.6000000006</v>
      </c>
      <c r="Q27" s="16"/>
      <c r="S27" s="217" t="s">
        <v>660</v>
      </c>
      <c r="T27" s="1" t="s">
        <v>334</v>
      </c>
    </row>
    <row r="28" spans="1:20" ht="17.25" customHeight="1" x14ac:dyDescent="0.3">
      <c r="A28" s="54"/>
      <c r="B28" s="55"/>
      <c r="C28" s="56"/>
      <c r="D28" s="57"/>
      <c r="E28" s="85" t="s">
        <v>630</v>
      </c>
      <c r="F28" s="224">
        <f>15%*D27</f>
        <v>8.5499999999999989</v>
      </c>
      <c r="G28" s="224">
        <f>2%*D27</f>
        <v>1.1400000000000001</v>
      </c>
      <c r="H28" s="79">
        <f>F28+G28</f>
        <v>9.69</v>
      </c>
      <c r="I28" s="19">
        <v>0</v>
      </c>
      <c r="J28" s="19"/>
      <c r="K28" s="19"/>
      <c r="L28" s="19">
        <v>1</v>
      </c>
      <c r="M28" s="20">
        <f t="shared" si="6"/>
        <v>1</v>
      </c>
      <c r="N28" s="37"/>
      <c r="O28" s="404"/>
      <c r="P28" s="231">
        <f>G28*0.52*20%*19000000</f>
        <v>2252640.0000000005</v>
      </c>
      <c r="Q28" s="16"/>
    </row>
    <row r="29" spans="1:20" ht="16.5" customHeight="1" x14ac:dyDescent="0.3">
      <c r="A29" s="54"/>
      <c r="B29" s="55" t="s">
        <v>59</v>
      </c>
      <c r="C29" s="56" t="s">
        <v>21</v>
      </c>
      <c r="D29" s="57">
        <v>72.94</v>
      </c>
      <c r="E29" s="47" t="s">
        <v>629</v>
      </c>
      <c r="F29" s="19">
        <v>9</v>
      </c>
      <c r="G29" s="224">
        <f>3%*D29</f>
        <v>2.1881999999999997</v>
      </c>
      <c r="H29" s="19">
        <f>F29+G29</f>
        <v>11.1882</v>
      </c>
      <c r="I29" s="19">
        <v>0</v>
      </c>
      <c r="J29" s="19">
        <v>0</v>
      </c>
      <c r="K29" s="19">
        <v>0</v>
      </c>
      <c r="L29" s="19">
        <v>2</v>
      </c>
      <c r="M29" s="20">
        <f t="shared" si="6"/>
        <v>2</v>
      </c>
      <c r="N29" s="95"/>
      <c r="O29" s="399"/>
      <c r="P29" s="231">
        <f>G29*0.52*20%*19000000</f>
        <v>4323883.2</v>
      </c>
      <c r="Q29" s="87"/>
    </row>
    <row r="30" spans="1:20" ht="33.75" customHeight="1" x14ac:dyDescent="0.3">
      <c r="A30" s="89"/>
      <c r="B30" s="415" t="s">
        <v>326</v>
      </c>
      <c r="C30" s="416"/>
      <c r="D30" s="138">
        <f>SUM(D25:D29)</f>
        <v>333.21999999999997</v>
      </c>
      <c r="E30" s="242"/>
      <c r="F30" s="140">
        <f t="shared" ref="F30:K30" si="8">SUM(F25:F29)</f>
        <v>63.906000000000006</v>
      </c>
      <c r="G30" s="140">
        <f t="shared" si="8"/>
        <v>13.4922</v>
      </c>
      <c r="H30" s="140">
        <f t="shared" si="8"/>
        <v>77.398200000000003</v>
      </c>
      <c r="I30" s="140">
        <f t="shared" si="8"/>
        <v>0</v>
      </c>
      <c r="J30" s="140">
        <f t="shared" si="8"/>
        <v>0</v>
      </c>
      <c r="K30" s="140">
        <f t="shared" si="8"/>
        <v>0</v>
      </c>
      <c r="L30" s="140">
        <f>SUM(L26:L29)</f>
        <v>5</v>
      </c>
      <c r="M30" s="140">
        <f>SUM(M25:M29)</f>
        <v>5</v>
      </c>
      <c r="N30" s="243"/>
      <c r="O30" s="244"/>
      <c r="P30" s="245">
        <f>SUM(P25:P29)</f>
        <v>26660587.199999999</v>
      </c>
      <c r="Q30" s="246"/>
    </row>
    <row r="31" spans="1:20" ht="14.25" customHeight="1" x14ac:dyDescent="0.3">
      <c r="A31" s="63">
        <v>3</v>
      </c>
      <c r="B31" s="64" t="s">
        <v>19</v>
      </c>
      <c r="C31" s="65"/>
      <c r="D31" s="66"/>
      <c r="E31" s="67"/>
      <c r="F31" s="82"/>
      <c r="G31" s="82"/>
      <c r="H31" s="82"/>
      <c r="I31" s="82"/>
      <c r="J31" s="82"/>
      <c r="K31" s="82"/>
      <c r="L31" s="82"/>
      <c r="M31" s="82"/>
      <c r="N31" s="69"/>
      <c r="O31" s="70"/>
      <c r="P31" s="233"/>
      <c r="Q31" s="68"/>
    </row>
    <row r="32" spans="1:20" ht="16.5" customHeight="1" x14ac:dyDescent="0.3">
      <c r="A32" s="13"/>
      <c r="B32" s="14" t="s">
        <v>57</v>
      </c>
      <c r="C32" s="15" t="s">
        <v>24</v>
      </c>
      <c r="D32" s="26">
        <f>1347+481.9+4</f>
        <v>1832.9</v>
      </c>
      <c r="E32" s="50" t="s">
        <v>52</v>
      </c>
      <c r="F32" s="19">
        <f>3%*D32</f>
        <v>54.987000000000002</v>
      </c>
      <c r="G32" s="26">
        <f>25%*D32</f>
        <v>458.22500000000002</v>
      </c>
      <c r="H32" s="26">
        <f>SUM(F32:G32)</f>
        <v>513.21199999999999</v>
      </c>
      <c r="I32" s="19">
        <v>0</v>
      </c>
      <c r="J32" s="19"/>
      <c r="K32" s="19"/>
      <c r="L32" s="19">
        <v>3</v>
      </c>
      <c r="M32" s="19">
        <f>SUM(I32:L32)</f>
        <v>3</v>
      </c>
      <c r="N32" s="35">
        <v>1</v>
      </c>
      <c r="O32" s="414" t="s">
        <v>642</v>
      </c>
      <c r="P32" s="234">
        <f t="shared" ref="P32:P61" si="9">G32*0.815*26%*3500000</f>
        <v>339842571.25</v>
      </c>
      <c r="Q32" s="16"/>
    </row>
    <row r="33" spans="1:17" ht="15" customHeight="1" x14ac:dyDescent="0.3">
      <c r="A33" s="13"/>
      <c r="B33" s="14"/>
      <c r="C33" s="15"/>
      <c r="D33" s="26"/>
      <c r="E33" s="47" t="s">
        <v>624</v>
      </c>
      <c r="F33" s="19">
        <f>4%*D32</f>
        <v>73.316000000000003</v>
      </c>
      <c r="G33" s="26">
        <f>7%*D32</f>
        <v>128.30300000000003</v>
      </c>
      <c r="H33" s="26">
        <f>F33+G33</f>
        <v>201.61900000000003</v>
      </c>
      <c r="I33" s="19">
        <v>0</v>
      </c>
      <c r="J33" s="19"/>
      <c r="K33" s="19">
        <v>0</v>
      </c>
      <c r="L33" s="19">
        <v>4</v>
      </c>
      <c r="M33" s="19">
        <f>SUM(I33:L33)</f>
        <v>4</v>
      </c>
      <c r="N33" s="35"/>
      <c r="O33" s="401"/>
      <c r="P33" s="234">
        <f t="shared" si="9"/>
        <v>95155919.950000018</v>
      </c>
      <c r="Q33" s="16"/>
    </row>
    <row r="34" spans="1:17" ht="16.5" customHeight="1" x14ac:dyDescent="0.3">
      <c r="A34" s="13"/>
      <c r="B34" s="14" t="s">
        <v>58</v>
      </c>
      <c r="C34" s="15" t="s">
        <v>25</v>
      </c>
      <c r="D34" s="26">
        <f>1378+343.2+4</f>
        <v>1725.2</v>
      </c>
      <c r="E34" s="50" t="s">
        <v>52</v>
      </c>
      <c r="F34" s="19">
        <f>2%*D34</f>
        <v>34.504000000000005</v>
      </c>
      <c r="G34" s="26">
        <f>6%*D34</f>
        <v>103.512</v>
      </c>
      <c r="H34" s="26">
        <f t="shared" ref="H34:H61" si="10">SUM(F34:G34)</f>
        <v>138.01600000000002</v>
      </c>
      <c r="I34" s="19">
        <v>0</v>
      </c>
      <c r="J34" s="19"/>
      <c r="K34" s="19">
        <v>0</v>
      </c>
      <c r="L34" s="19">
        <v>0</v>
      </c>
      <c r="M34" s="19">
        <f t="shared" ref="M34:M61" si="11">SUM(I34:L34)</f>
        <v>0</v>
      </c>
      <c r="N34" s="35"/>
      <c r="O34" s="401"/>
      <c r="P34" s="234">
        <f t="shared" si="9"/>
        <v>76769674.800000012</v>
      </c>
      <c r="Q34" s="16"/>
    </row>
    <row r="35" spans="1:17" ht="16.5" customHeight="1" x14ac:dyDescent="0.3">
      <c r="A35" s="13"/>
      <c r="B35" s="14" t="s">
        <v>59</v>
      </c>
      <c r="C35" s="15" t="s">
        <v>26</v>
      </c>
      <c r="D35" s="26">
        <f>1032+337+10</f>
        <v>1379</v>
      </c>
      <c r="E35" s="50" t="s">
        <v>52</v>
      </c>
      <c r="F35" s="19">
        <f>3%*D35</f>
        <v>41.37</v>
      </c>
      <c r="G35" s="26">
        <f>10%*D35</f>
        <v>137.9</v>
      </c>
      <c r="H35" s="26">
        <f t="shared" si="10"/>
        <v>179.27</v>
      </c>
      <c r="I35" s="19"/>
      <c r="J35" s="19"/>
      <c r="K35" s="19"/>
      <c r="L35" s="19">
        <v>4</v>
      </c>
      <c r="M35" s="19">
        <f t="shared" si="11"/>
        <v>4</v>
      </c>
      <c r="N35" s="35"/>
      <c r="O35" s="401"/>
      <c r="P35" s="234">
        <f t="shared" si="9"/>
        <v>102273535</v>
      </c>
      <c r="Q35" s="16"/>
    </row>
    <row r="36" spans="1:17" ht="16.5" customHeight="1" x14ac:dyDescent="0.3">
      <c r="A36" s="13"/>
      <c r="B36" s="14"/>
      <c r="C36" s="15"/>
      <c r="D36" s="26"/>
      <c r="E36" s="47" t="s">
        <v>624</v>
      </c>
      <c r="F36" s="19">
        <f>4%*D35</f>
        <v>55.160000000000004</v>
      </c>
      <c r="G36" s="26">
        <f>7%*D35</f>
        <v>96.530000000000015</v>
      </c>
      <c r="H36" s="26">
        <f>F36+G36</f>
        <v>151.69000000000003</v>
      </c>
      <c r="I36" s="19">
        <v>0</v>
      </c>
      <c r="J36" s="19"/>
      <c r="K36" s="19"/>
      <c r="L36" s="19">
        <v>3</v>
      </c>
      <c r="M36" s="19">
        <f>SUM(I36:L36)</f>
        <v>3</v>
      </c>
      <c r="N36" s="35"/>
      <c r="O36" s="401"/>
      <c r="P36" s="234">
        <f t="shared" si="9"/>
        <v>71591474.500000015</v>
      </c>
      <c r="Q36" s="16"/>
    </row>
    <row r="37" spans="1:17" ht="15" customHeight="1" x14ac:dyDescent="0.3">
      <c r="A37" s="13"/>
      <c r="B37" s="14" t="s">
        <v>60</v>
      </c>
      <c r="C37" s="15" t="s">
        <v>55</v>
      </c>
      <c r="D37" s="26">
        <f>312.6+146.93</f>
        <v>459.53000000000003</v>
      </c>
      <c r="E37" s="50" t="s">
        <v>52</v>
      </c>
      <c r="F37" s="19">
        <f>4%*D37</f>
        <v>18.381200000000003</v>
      </c>
      <c r="G37" s="26">
        <f>10%*D37</f>
        <v>45.953000000000003</v>
      </c>
      <c r="H37" s="26">
        <f t="shared" si="10"/>
        <v>64.33420000000001</v>
      </c>
      <c r="I37" s="19">
        <v>0</v>
      </c>
      <c r="J37" s="19">
        <v>0</v>
      </c>
      <c r="K37" s="19">
        <v>0</v>
      </c>
      <c r="L37" s="19">
        <v>0</v>
      </c>
      <c r="M37" s="19">
        <f t="shared" si="11"/>
        <v>0</v>
      </c>
      <c r="N37" s="35"/>
      <c r="O37" s="401"/>
      <c r="P37" s="234">
        <f t="shared" si="9"/>
        <v>34081042.450000003</v>
      </c>
      <c r="Q37" s="16"/>
    </row>
    <row r="38" spans="1:17" ht="16.5" customHeight="1" x14ac:dyDescent="0.3">
      <c r="A38" s="13"/>
      <c r="B38" s="14"/>
      <c r="C38" s="15"/>
      <c r="D38" s="26"/>
      <c r="E38" s="47" t="s">
        <v>235</v>
      </c>
      <c r="F38" s="26">
        <f>3%*D37</f>
        <v>13.7859</v>
      </c>
      <c r="G38" s="26">
        <f>8%*D37</f>
        <v>36.762400000000007</v>
      </c>
      <c r="H38" s="26">
        <f>SUM(F38:G38)</f>
        <v>50.548300000000005</v>
      </c>
      <c r="I38" s="19"/>
      <c r="J38" s="19"/>
      <c r="K38" s="19"/>
      <c r="L38" s="19">
        <v>4</v>
      </c>
      <c r="M38" s="19">
        <f>SUM(I38:L38)</f>
        <v>4</v>
      </c>
      <c r="N38" s="35"/>
      <c r="O38" s="400"/>
      <c r="P38" s="234">
        <f t="shared" si="9"/>
        <v>27264833.960000001</v>
      </c>
      <c r="Q38" s="16"/>
    </row>
    <row r="39" spans="1:17" ht="15" customHeight="1" x14ac:dyDescent="0.3">
      <c r="A39" s="13"/>
      <c r="B39" s="14" t="s">
        <v>61</v>
      </c>
      <c r="C39" s="15" t="s">
        <v>27</v>
      </c>
      <c r="D39" s="26">
        <f>650.7+162.25</f>
        <v>812.95</v>
      </c>
      <c r="E39" s="50" t="s">
        <v>52</v>
      </c>
      <c r="F39" s="19">
        <f>2%*D39</f>
        <v>16.259</v>
      </c>
      <c r="G39" s="26">
        <f>25%*D39</f>
        <v>203.23750000000001</v>
      </c>
      <c r="H39" s="26">
        <f t="shared" si="10"/>
        <v>219.49650000000003</v>
      </c>
      <c r="I39" s="19">
        <v>0</v>
      </c>
      <c r="J39" s="19">
        <v>0</v>
      </c>
      <c r="K39" s="19">
        <v>0</v>
      </c>
      <c r="L39" s="19">
        <v>5</v>
      </c>
      <c r="M39" s="19">
        <f t="shared" si="11"/>
        <v>5</v>
      </c>
      <c r="N39" s="35"/>
      <c r="O39" s="36"/>
      <c r="P39" s="234">
        <f t="shared" si="9"/>
        <v>150731091.875</v>
      </c>
      <c r="Q39" s="16"/>
    </row>
    <row r="40" spans="1:17" ht="16.5" customHeight="1" x14ac:dyDescent="0.3">
      <c r="A40" s="13"/>
      <c r="B40" s="14" t="s">
        <v>62</v>
      </c>
      <c r="C40" s="15" t="s">
        <v>28</v>
      </c>
      <c r="D40" s="26">
        <f>876+634.6+5</f>
        <v>1515.6</v>
      </c>
      <c r="E40" s="50" t="s">
        <v>52</v>
      </c>
      <c r="F40" s="19">
        <f>2%*D40</f>
        <v>30.311999999999998</v>
      </c>
      <c r="G40" s="26">
        <f>10%*D40</f>
        <v>151.56</v>
      </c>
      <c r="H40" s="26">
        <f t="shared" si="10"/>
        <v>181.87200000000001</v>
      </c>
      <c r="I40" s="19">
        <v>0</v>
      </c>
      <c r="J40" s="19">
        <v>0</v>
      </c>
      <c r="K40" s="19"/>
      <c r="L40" s="19">
        <v>4</v>
      </c>
      <c r="M40" s="19">
        <f t="shared" si="11"/>
        <v>4</v>
      </c>
      <c r="N40" s="35">
        <v>2</v>
      </c>
      <c r="O40" s="399" t="s">
        <v>643</v>
      </c>
      <c r="P40" s="234">
        <f t="shared" si="9"/>
        <v>112404474</v>
      </c>
      <c r="Q40" s="16"/>
    </row>
    <row r="41" spans="1:17" ht="16.5" customHeight="1" x14ac:dyDescent="0.3">
      <c r="A41" s="13"/>
      <c r="B41" s="14" t="s">
        <v>63</v>
      </c>
      <c r="C41" s="15" t="s">
        <v>29</v>
      </c>
      <c r="D41" s="26">
        <f>1576+278.5</f>
        <v>1854.5</v>
      </c>
      <c r="E41" s="50" t="s">
        <v>52</v>
      </c>
      <c r="F41" s="19">
        <f>1%*D41</f>
        <v>18.545000000000002</v>
      </c>
      <c r="G41" s="26">
        <f>20%*D41</f>
        <v>370.90000000000003</v>
      </c>
      <c r="H41" s="26">
        <f t="shared" si="10"/>
        <v>389.44500000000005</v>
      </c>
      <c r="I41" s="19">
        <v>0</v>
      </c>
      <c r="J41" s="19">
        <v>0</v>
      </c>
      <c r="K41" s="19"/>
      <c r="L41" s="19">
        <v>4</v>
      </c>
      <c r="M41" s="19">
        <f t="shared" si="11"/>
        <v>4</v>
      </c>
      <c r="N41" s="35"/>
      <c r="O41" s="401"/>
      <c r="P41" s="234">
        <f t="shared" si="9"/>
        <v>275077985</v>
      </c>
      <c r="Q41" s="16"/>
    </row>
    <row r="42" spans="1:17" ht="13.5" customHeight="1" x14ac:dyDescent="0.3">
      <c r="A42" s="13"/>
      <c r="B42" s="14"/>
      <c r="C42" s="15"/>
      <c r="D42" s="26"/>
      <c r="E42" s="47" t="s">
        <v>234</v>
      </c>
      <c r="F42" s="19">
        <f>1%*D41</f>
        <v>18.545000000000002</v>
      </c>
      <c r="G42" s="26">
        <f>9%*D40</f>
        <v>136.404</v>
      </c>
      <c r="H42" s="26">
        <f>F42+G42</f>
        <v>154.94900000000001</v>
      </c>
      <c r="I42" s="19"/>
      <c r="J42" s="19">
        <v>0</v>
      </c>
      <c r="K42" s="19">
        <v>0</v>
      </c>
      <c r="L42" s="19">
        <v>0</v>
      </c>
      <c r="M42" s="19">
        <f t="shared" ref="M42" si="12">SUM(I42:L42)</f>
        <v>0</v>
      </c>
      <c r="N42" s="35"/>
      <c r="O42" s="401"/>
      <c r="P42" s="234">
        <f t="shared" si="9"/>
        <v>101164026.59999999</v>
      </c>
      <c r="Q42" s="16"/>
    </row>
    <row r="43" spans="1:17" ht="16.5" customHeight="1" x14ac:dyDescent="0.3">
      <c r="A43" s="13"/>
      <c r="B43" s="14" t="s">
        <v>64</v>
      </c>
      <c r="C43" s="15" t="s">
        <v>56</v>
      </c>
      <c r="D43" s="26">
        <f>274.6+53.7+42</f>
        <v>370.3</v>
      </c>
      <c r="E43" s="50" t="s">
        <v>52</v>
      </c>
      <c r="F43" s="19">
        <f>1%*D43</f>
        <v>3.7030000000000003</v>
      </c>
      <c r="G43" s="26">
        <f>9%*D43</f>
        <v>33.326999999999998</v>
      </c>
      <c r="H43" s="26">
        <f t="shared" si="10"/>
        <v>37.03</v>
      </c>
      <c r="I43" s="19">
        <v>0</v>
      </c>
      <c r="J43" s="19"/>
      <c r="K43" s="19"/>
      <c r="L43" s="19">
        <v>0</v>
      </c>
      <c r="M43" s="19">
        <f t="shared" si="11"/>
        <v>0</v>
      </c>
      <c r="N43" s="35"/>
      <c r="O43" s="401"/>
      <c r="P43" s="234">
        <f t="shared" si="9"/>
        <v>24716969.550000001</v>
      </c>
      <c r="Q43" s="16"/>
    </row>
    <row r="44" spans="1:17" ht="18" customHeight="1" x14ac:dyDescent="0.3">
      <c r="A44" s="13"/>
      <c r="B44" s="14" t="s">
        <v>65</v>
      </c>
      <c r="C44" s="15" t="s">
        <v>30</v>
      </c>
      <c r="D44" s="26">
        <f>1500.5+566.7</f>
        <v>2067.1999999999998</v>
      </c>
      <c r="E44" s="50" t="s">
        <v>52</v>
      </c>
      <c r="F44" s="19">
        <f>1%*D44</f>
        <v>20.671999999999997</v>
      </c>
      <c r="G44" s="26">
        <f>8%*D44</f>
        <v>165.37599999999998</v>
      </c>
      <c r="H44" s="26">
        <f t="shared" si="10"/>
        <v>186.04799999999997</v>
      </c>
      <c r="I44" s="19">
        <v>0</v>
      </c>
      <c r="J44" s="19">
        <v>0</v>
      </c>
      <c r="K44" s="19">
        <v>0</v>
      </c>
      <c r="L44" s="19">
        <v>0</v>
      </c>
      <c r="M44" s="19">
        <f t="shared" si="11"/>
        <v>0</v>
      </c>
      <c r="N44" s="35"/>
      <c r="O44" s="401"/>
      <c r="P44" s="234">
        <f t="shared" si="9"/>
        <v>122651110.39999999</v>
      </c>
      <c r="Q44" s="16"/>
    </row>
    <row r="45" spans="1:17" ht="18" customHeight="1" x14ac:dyDescent="0.3">
      <c r="A45" s="13"/>
      <c r="B45" s="14"/>
      <c r="C45" s="15"/>
      <c r="D45" s="26"/>
      <c r="E45" s="47" t="s">
        <v>624</v>
      </c>
      <c r="F45" s="19">
        <f>4%*D44</f>
        <v>82.687999999999988</v>
      </c>
      <c r="G45" s="26">
        <f>9%*D44</f>
        <v>186.04799999999997</v>
      </c>
      <c r="H45" s="26">
        <f>F45+G45</f>
        <v>268.73599999999999</v>
      </c>
      <c r="I45" s="19">
        <v>0</v>
      </c>
      <c r="J45" s="19"/>
      <c r="K45" s="19"/>
      <c r="L45" s="19">
        <v>3</v>
      </c>
      <c r="M45" s="19">
        <f>SUM(I45:L45)</f>
        <v>3</v>
      </c>
      <c r="N45" s="35"/>
      <c r="O45" s="401"/>
      <c r="P45" s="234">
        <f t="shared" si="9"/>
        <v>137982499.19999996</v>
      </c>
      <c r="Q45" s="16"/>
    </row>
    <row r="46" spans="1:17" ht="18.75" customHeight="1" x14ac:dyDescent="0.3">
      <c r="A46" s="13"/>
      <c r="B46" s="14" t="s">
        <v>66</v>
      </c>
      <c r="C46" s="15" t="s">
        <v>31</v>
      </c>
      <c r="D46" s="26">
        <f>1214.5+386.5</f>
        <v>1601</v>
      </c>
      <c r="E46" s="50" t="s">
        <v>52</v>
      </c>
      <c r="F46" s="19">
        <f t="shared" ref="F46:F55" si="13">1%*D46</f>
        <v>16.010000000000002</v>
      </c>
      <c r="G46" s="26">
        <f>9%*D46</f>
        <v>144.09</v>
      </c>
      <c r="H46" s="26">
        <f t="shared" si="10"/>
        <v>160.1</v>
      </c>
      <c r="I46" s="19">
        <v>0</v>
      </c>
      <c r="J46" s="19">
        <v>0</v>
      </c>
      <c r="K46" s="19">
        <v>0</v>
      </c>
      <c r="L46" s="19">
        <v>0</v>
      </c>
      <c r="M46" s="19">
        <f t="shared" si="11"/>
        <v>0</v>
      </c>
      <c r="N46" s="35"/>
      <c r="O46" s="401"/>
      <c r="P46" s="234">
        <f t="shared" si="9"/>
        <v>106864348.49999999</v>
      </c>
      <c r="Q46" s="16"/>
    </row>
    <row r="47" spans="1:17" ht="16.5" customHeight="1" x14ac:dyDescent="0.3">
      <c r="A47" s="13"/>
      <c r="B47" s="14" t="s">
        <v>67</v>
      </c>
      <c r="C47" s="15" t="s">
        <v>32</v>
      </c>
      <c r="D47" s="26">
        <f>998.9+79.5</f>
        <v>1078.4000000000001</v>
      </c>
      <c r="E47" s="50" t="s">
        <v>52</v>
      </c>
      <c r="F47" s="19">
        <f t="shared" si="13"/>
        <v>10.784000000000001</v>
      </c>
      <c r="G47" s="26">
        <f>9%*D47</f>
        <v>97.056000000000012</v>
      </c>
      <c r="H47" s="26">
        <f t="shared" si="10"/>
        <v>107.84000000000002</v>
      </c>
      <c r="I47" s="19">
        <v>0</v>
      </c>
      <c r="J47" s="19">
        <v>0</v>
      </c>
      <c r="K47" s="19">
        <v>0</v>
      </c>
      <c r="L47" s="19">
        <v>0</v>
      </c>
      <c r="M47" s="19">
        <f t="shared" si="11"/>
        <v>0</v>
      </c>
      <c r="N47" s="35"/>
      <c r="O47" s="401"/>
      <c r="P47" s="234">
        <f t="shared" si="9"/>
        <v>71981582.400000006</v>
      </c>
      <c r="Q47" s="16"/>
    </row>
    <row r="48" spans="1:17" ht="18.75" customHeight="1" x14ac:dyDescent="0.3">
      <c r="A48" s="13"/>
      <c r="B48" s="14" t="s">
        <v>68</v>
      </c>
      <c r="C48" s="15" t="s">
        <v>33</v>
      </c>
      <c r="D48" s="26">
        <f>1314+57.5</f>
        <v>1371.5</v>
      </c>
      <c r="E48" s="50" t="s">
        <v>52</v>
      </c>
      <c r="F48" s="19">
        <f t="shared" si="13"/>
        <v>13.715</v>
      </c>
      <c r="G48" s="26">
        <f>10%*D48</f>
        <v>137.15</v>
      </c>
      <c r="H48" s="26">
        <f t="shared" si="10"/>
        <v>150.86500000000001</v>
      </c>
      <c r="I48" s="19">
        <v>0</v>
      </c>
      <c r="J48" s="19"/>
      <c r="K48" s="19">
        <v>0</v>
      </c>
      <c r="L48" s="19">
        <v>0</v>
      </c>
      <c r="M48" s="19">
        <f t="shared" si="11"/>
        <v>0</v>
      </c>
      <c r="N48" s="35"/>
      <c r="O48" s="401"/>
      <c r="P48" s="234">
        <f t="shared" si="9"/>
        <v>101717297.5</v>
      </c>
      <c r="Q48" s="16"/>
    </row>
    <row r="49" spans="1:17" ht="16.5" customHeight="1" x14ac:dyDescent="0.3">
      <c r="A49" s="13"/>
      <c r="B49" s="14" t="s">
        <v>69</v>
      </c>
      <c r="C49" s="15" t="s">
        <v>34</v>
      </c>
      <c r="D49" s="26">
        <f>1892.1+376</f>
        <v>2268.1</v>
      </c>
      <c r="E49" s="50" t="s">
        <v>52</v>
      </c>
      <c r="F49" s="19">
        <f t="shared" si="13"/>
        <v>22.681000000000001</v>
      </c>
      <c r="G49" s="26">
        <f>19%*D49</f>
        <v>430.93899999999996</v>
      </c>
      <c r="H49" s="26">
        <f t="shared" si="10"/>
        <v>453.61999999999995</v>
      </c>
      <c r="I49" s="19">
        <v>0</v>
      </c>
      <c r="J49" s="19"/>
      <c r="K49" s="19"/>
      <c r="L49" s="19">
        <v>5</v>
      </c>
      <c r="M49" s="19">
        <f t="shared" si="11"/>
        <v>5</v>
      </c>
      <c r="N49" s="35"/>
      <c r="O49" s="401"/>
      <c r="P49" s="234">
        <f t="shared" si="9"/>
        <v>319605909.34999996</v>
      </c>
      <c r="Q49" s="16"/>
    </row>
    <row r="50" spans="1:17" ht="16.5" customHeight="1" x14ac:dyDescent="0.3">
      <c r="A50" s="13"/>
      <c r="B50" s="14" t="s">
        <v>70</v>
      </c>
      <c r="C50" s="15" t="s">
        <v>35</v>
      </c>
      <c r="D50" s="26">
        <f>1558+185.25</f>
        <v>1743.25</v>
      </c>
      <c r="E50" s="50" t="s">
        <v>52</v>
      </c>
      <c r="F50" s="19">
        <f t="shared" si="13"/>
        <v>17.432500000000001</v>
      </c>
      <c r="G50" s="26">
        <f>10%*D50</f>
        <v>174.32500000000002</v>
      </c>
      <c r="H50" s="26">
        <f t="shared" si="10"/>
        <v>191.75750000000002</v>
      </c>
      <c r="I50" s="19">
        <v>0</v>
      </c>
      <c r="J50" s="19">
        <v>0</v>
      </c>
      <c r="K50" s="19">
        <v>0</v>
      </c>
      <c r="L50" s="19">
        <v>0</v>
      </c>
      <c r="M50" s="19">
        <f t="shared" si="11"/>
        <v>0</v>
      </c>
      <c r="N50" s="35"/>
      <c r="O50" s="401"/>
      <c r="P50" s="234">
        <f t="shared" si="9"/>
        <v>129288136.25</v>
      </c>
      <c r="Q50" s="16"/>
    </row>
    <row r="51" spans="1:17" ht="17.25" customHeight="1" x14ac:dyDescent="0.3">
      <c r="A51" s="13"/>
      <c r="B51" s="14" t="s">
        <v>71</v>
      </c>
      <c r="C51" s="15" t="s">
        <v>21</v>
      </c>
      <c r="D51" s="26">
        <f>1972+130</f>
        <v>2102</v>
      </c>
      <c r="E51" s="50" t="s">
        <v>52</v>
      </c>
      <c r="F51" s="19">
        <f t="shared" si="13"/>
        <v>21.02</v>
      </c>
      <c r="G51" s="26">
        <f>9%*D51</f>
        <v>189.18</v>
      </c>
      <c r="H51" s="26">
        <f t="shared" si="10"/>
        <v>210.20000000000002</v>
      </c>
      <c r="I51" s="19">
        <v>0</v>
      </c>
      <c r="J51" s="19">
        <v>0</v>
      </c>
      <c r="K51" s="19">
        <v>0</v>
      </c>
      <c r="L51" s="19">
        <v>0</v>
      </c>
      <c r="M51" s="19">
        <f t="shared" si="11"/>
        <v>0</v>
      </c>
      <c r="N51" s="35"/>
      <c r="O51" s="401"/>
      <c r="P51" s="234">
        <f t="shared" si="9"/>
        <v>140305347</v>
      </c>
      <c r="Q51" s="16"/>
    </row>
    <row r="52" spans="1:17" ht="22.5" customHeight="1" x14ac:dyDescent="0.3">
      <c r="A52" s="13"/>
      <c r="B52" s="14" t="s">
        <v>72</v>
      </c>
      <c r="C52" s="15" t="s">
        <v>42</v>
      </c>
      <c r="D52" s="26">
        <f>773.1+303.8</f>
        <v>1076.9000000000001</v>
      </c>
      <c r="E52" s="50" t="s">
        <v>52</v>
      </c>
      <c r="F52" s="19">
        <f t="shared" si="13"/>
        <v>10.769000000000002</v>
      </c>
      <c r="G52" s="26">
        <f>10%*D52</f>
        <v>107.69000000000001</v>
      </c>
      <c r="H52" s="26">
        <f t="shared" si="10"/>
        <v>118.45900000000002</v>
      </c>
      <c r="I52" s="19">
        <v>0</v>
      </c>
      <c r="J52" s="19">
        <v>0</v>
      </c>
      <c r="K52" s="19">
        <v>0</v>
      </c>
      <c r="L52" s="19">
        <v>3</v>
      </c>
      <c r="M52" s="19">
        <f t="shared" si="11"/>
        <v>3</v>
      </c>
      <c r="N52" s="35"/>
      <c r="O52" s="400"/>
      <c r="P52" s="234">
        <f t="shared" si="9"/>
        <v>79868288.5</v>
      </c>
      <c r="Q52" s="16"/>
    </row>
    <row r="53" spans="1:17" ht="16.5" customHeight="1" x14ac:dyDescent="0.3">
      <c r="A53" s="13"/>
      <c r="B53" s="14" t="s">
        <v>73</v>
      </c>
      <c r="C53" s="15" t="s">
        <v>105</v>
      </c>
      <c r="D53" s="26">
        <f>153.8+8.7</f>
        <v>162.5</v>
      </c>
      <c r="E53" s="50" t="s">
        <v>52</v>
      </c>
      <c r="F53" s="19">
        <f t="shared" si="13"/>
        <v>1.625</v>
      </c>
      <c r="G53" s="26">
        <f>9%*D53</f>
        <v>14.625</v>
      </c>
      <c r="H53" s="26">
        <f t="shared" si="10"/>
        <v>16.25</v>
      </c>
      <c r="I53" s="19">
        <v>0</v>
      </c>
      <c r="J53" s="19">
        <v>0</v>
      </c>
      <c r="K53" s="19">
        <v>0</v>
      </c>
      <c r="L53" s="19">
        <v>6</v>
      </c>
      <c r="M53" s="19">
        <f t="shared" si="11"/>
        <v>6</v>
      </c>
      <c r="N53" s="35"/>
      <c r="O53" s="36"/>
      <c r="P53" s="234">
        <f t="shared" si="9"/>
        <v>10846631.249999998</v>
      </c>
      <c r="Q53" s="16"/>
    </row>
    <row r="54" spans="1:17" ht="16.5" customHeight="1" x14ac:dyDescent="0.3">
      <c r="A54" s="13"/>
      <c r="B54" s="14" t="s">
        <v>74</v>
      </c>
      <c r="C54" s="15" t="s">
        <v>110</v>
      </c>
      <c r="D54" s="26">
        <f>695+48.2</f>
        <v>743.2</v>
      </c>
      <c r="E54" s="50" t="s">
        <v>52</v>
      </c>
      <c r="F54" s="19">
        <f t="shared" si="13"/>
        <v>7.4320000000000004</v>
      </c>
      <c r="G54" s="26">
        <f>9%*D54</f>
        <v>66.888000000000005</v>
      </c>
      <c r="H54" s="26">
        <f t="shared" si="10"/>
        <v>74.320000000000007</v>
      </c>
      <c r="I54" s="19">
        <v>0</v>
      </c>
      <c r="J54" s="19">
        <v>0</v>
      </c>
      <c r="K54" s="19">
        <v>0</v>
      </c>
      <c r="L54" s="19">
        <v>0</v>
      </c>
      <c r="M54" s="19">
        <f t="shared" si="11"/>
        <v>0</v>
      </c>
      <c r="N54" s="35">
        <v>3</v>
      </c>
      <c r="O54" s="399" t="s">
        <v>644</v>
      </c>
      <c r="P54" s="234">
        <f t="shared" si="9"/>
        <v>49607485.200000003</v>
      </c>
      <c r="Q54" s="16"/>
    </row>
    <row r="55" spans="1:17" ht="16.5" customHeight="1" x14ac:dyDescent="0.3">
      <c r="A55" s="13"/>
      <c r="B55" s="14" t="s">
        <v>75</v>
      </c>
      <c r="C55" s="15" t="s">
        <v>112</v>
      </c>
      <c r="D55" s="26">
        <f>375+14</f>
        <v>389</v>
      </c>
      <c r="E55" s="50" t="s">
        <v>52</v>
      </c>
      <c r="F55" s="19">
        <f t="shared" si="13"/>
        <v>3.89</v>
      </c>
      <c r="G55" s="26">
        <f>10%*D55</f>
        <v>38.900000000000006</v>
      </c>
      <c r="H55" s="26">
        <f t="shared" si="10"/>
        <v>42.790000000000006</v>
      </c>
      <c r="I55" s="19">
        <v>0</v>
      </c>
      <c r="J55" s="19">
        <v>0</v>
      </c>
      <c r="K55" s="19">
        <v>0</v>
      </c>
      <c r="L55" s="19">
        <v>0</v>
      </c>
      <c r="M55" s="19">
        <f t="shared" si="11"/>
        <v>0</v>
      </c>
      <c r="N55" s="35"/>
      <c r="O55" s="401"/>
      <c r="P55" s="234">
        <f t="shared" si="9"/>
        <v>28850185</v>
      </c>
      <c r="Q55" s="16"/>
    </row>
    <row r="56" spans="1:17" ht="16.5" customHeight="1" x14ac:dyDescent="0.3">
      <c r="A56" s="13"/>
      <c r="B56" s="14" t="s">
        <v>104</v>
      </c>
      <c r="C56" s="15" t="s">
        <v>114</v>
      </c>
      <c r="D56" s="26">
        <f>73.5</f>
        <v>73.5</v>
      </c>
      <c r="E56" s="50" t="s">
        <v>52</v>
      </c>
      <c r="F56" s="19">
        <f t="shared" ref="F56" si="14">2%*D56</f>
        <v>1.47</v>
      </c>
      <c r="G56" s="26">
        <f>10%*D56</f>
        <v>7.3500000000000005</v>
      </c>
      <c r="H56" s="26">
        <f t="shared" si="10"/>
        <v>8.82</v>
      </c>
      <c r="I56" s="19">
        <v>0</v>
      </c>
      <c r="J56" s="19">
        <v>0</v>
      </c>
      <c r="K56" s="19">
        <v>0</v>
      </c>
      <c r="L56" s="19">
        <v>0</v>
      </c>
      <c r="M56" s="19">
        <f t="shared" si="11"/>
        <v>0</v>
      </c>
      <c r="N56" s="35"/>
      <c r="O56" s="401"/>
      <c r="P56" s="234">
        <f t="shared" si="9"/>
        <v>5451127.5</v>
      </c>
      <c r="Q56" s="16"/>
    </row>
    <row r="57" spans="1:17" ht="16.5" customHeight="1" x14ac:dyDescent="0.3">
      <c r="A57" s="13"/>
      <c r="B57" s="14" t="s">
        <v>106</v>
      </c>
      <c r="C57" s="15" t="s">
        <v>22</v>
      </c>
      <c r="D57" s="26">
        <f>1184.3+105</f>
        <v>1289.3</v>
      </c>
      <c r="E57" s="50" t="s">
        <v>52</v>
      </c>
      <c r="F57" s="19">
        <f>3%*D57</f>
        <v>38.678999999999995</v>
      </c>
      <c r="G57" s="26">
        <f>8%*D57</f>
        <v>103.14400000000001</v>
      </c>
      <c r="H57" s="26">
        <f t="shared" si="10"/>
        <v>141.82300000000001</v>
      </c>
      <c r="I57" s="19">
        <v>0</v>
      </c>
      <c r="J57" s="19">
        <v>0</v>
      </c>
      <c r="K57" s="19"/>
      <c r="L57" s="19">
        <v>0</v>
      </c>
      <c r="M57" s="19">
        <f t="shared" si="11"/>
        <v>0</v>
      </c>
      <c r="N57" s="35"/>
      <c r="O57" s="401"/>
      <c r="P57" s="234">
        <f t="shared" si="9"/>
        <v>76496747.599999994</v>
      </c>
      <c r="Q57" s="16"/>
    </row>
    <row r="58" spans="1:17" ht="14.25" customHeight="1" x14ac:dyDescent="0.3">
      <c r="A58" s="13"/>
      <c r="B58" s="14" t="s">
        <v>108</v>
      </c>
      <c r="C58" s="15" t="s">
        <v>180</v>
      </c>
      <c r="D58" s="26">
        <f>134.8+5</f>
        <v>139.80000000000001</v>
      </c>
      <c r="E58" s="47" t="s">
        <v>52</v>
      </c>
      <c r="F58" s="19">
        <f>4%*D58</f>
        <v>5.5920000000000005</v>
      </c>
      <c r="G58" s="26">
        <f>8%*D58</f>
        <v>11.184000000000001</v>
      </c>
      <c r="H58" s="26">
        <f t="shared" si="10"/>
        <v>16.776000000000003</v>
      </c>
      <c r="I58" s="19">
        <v>0</v>
      </c>
      <c r="J58" s="19">
        <v>0</v>
      </c>
      <c r="K58" s="19">
        <v>0</v>
      </c>
      <c r="L58" s="19">
        <v>5</v>
      </c>
      <c r="M58" s="19">
        <f t="shared" si="11"/>
        <v>5</v>
      </c>
      <c r="N58" s="35"/>
      <c r="O58" s="401"/>
      <c r="P58" s="234">
        <f t="shared" si="9"/>
        <v>8294613.6000000006</v>
      </c>
      <c r="Q58" s="16"/>
    </row>
    <row r="59" spans="1:17" ht="16.5" customHeight="1" x14ac:dyDescent="0.3">
      <c r="A59" s="13"/>
      <c r="B59" s="14" t="s">
        <v>109</v>
      </c>
      <c r="C59" s="15" t="s">
        <v>43</v>
      </c>
      <c r="D59" s="26">
        <f>1195+218.6</f>
        <v>1413.6</v>
      </c>
      <c r="E59" s="50" t="s">
        <v>52</v>
      </c>
      <c r="F59" s="19">
        <f>3%*D59</f>
        <v>42.407999999999994</v>
      </c>
      <c r="G59" s="26">
        <f>19%*D59</f>
        <v>268.584</v>
      </c>
      <c r="H59" s="26">
        <f t="shared" si="10"/>
        <v>310.99200000000002</v>
      </c>
      <c r="I59" s="19">
        <v>0</v>
      </c>
      <c r="J59" s="19">
        <v>0</v>
      </c>
      <c r="K59" s="19">
        <v>0</v>
      </c>
      <c r="L59" s="19">
        <v>0</v>
      </c>
      <c r="M59" s="19">
        <f t="shared" si="11"/>
        <v>0</v>
      </c>
      <c r="N59" s="35"/>
      <c r="O59" s="400"/>
      <c r="P59" s="234">
        <f t="shared" si="9"/>
        <v>199195323.60000002</v>
      </c>
      <c r="Q59" s="16"/>
    </row>
    <row r="60" spans="1:17" ht="15.75" customHeight="1" x14ac:dyDescent="0.3">
      <c r="A60" s="13"/>
      <c r="B60" s="55" t="s">
        <v>111</v>
      </c>
      <c r="C60" s="56" t="s">
        <v>44</v>
      </c>
      <c r="D60" s="57">
        <f>1400.35+129.1</f>
        <v>1529.4499999999998</v>
      </c>
      <c r="E60" s="78" t="s">
        <v>52</v>
      </c>
      <c r="F60" s="19">
        <f>4%*D60</f>
        <v>61.177999999999997</v>
      </c>
      <c r="G60" s="26">
        <f>8%*D60</f>
        <v>122.35599999999999</v>
      </c>
      <c r="H60" s="26">
        <f t="shared" si="10"/>
        <v>183.53399999999999</v>
      </c>
      <c r="I60" s="19">
        <v>0</v>
      </c>
      <c r="J60" s="19">
        <v>0</v>
      </c>
      <c r="K60" s="19">
        <v>0</v>
      </c>
      <c r="L60" s="19">
        <v>6</v>
      </c>
      <c r="M60" s="19">
        <f t="shared" si="11"/>
        <v>6</v>
      </c>
      <c r="N60" s="35"/>
      <c r="O60" s="36"/>
      <c r="P60" s="234">
        <f t="shared" si="9"/>
        <v>90745327.399999991</v>
      </c>
      <c r="Q60" s="16"/>
    </row>
    <row r="61" spans="1:17" ht="16.5" customHeight="1" x14ac:dyDescent="0.3">
      <c r="A61" s="13"/>
      <c r="B61" s="14" t="s">
        <v>74</v>
      </c>
      <c r="C61" s="15" t="s">
        <v>43</v>
      </c>
      <c r="D61" s="26">
        <v>1189</v>
      </c>
      <c r="E61" s="50" t="s">
        <v>52</v>
      </c>
      <c r="F61" s="19">
        <f>1%*D61</f>
        <v>11.89</v>
      </c>
      <c r="G61" s="26">
        <f>8%*D61</f>
        <v>95.12</v>
      </c>
      <c r="H61" s="26">
        <f t="shared" si="10"/>
        <v>107.01</v>
      </c>
      <c r="I61" s="19">
        <v>0</v>
      </c>
      <c r="J61" s="19"/>
      <c r="K61" s="19"/>
      <c r="L61" s="19">
        <v>4</v>
      </c>
      <c r="M61" s="19">
        <f t="shared" si="11"/>
        <v>4</v>
      </c>
      <c r="N61" s="35"/>
      <c r="O61" s="36"/>
      <c r="P61" s="234">
        <f t="shared" si="9"/>
        <v>70545748.000000015</v>
      </c>
      <c r="Q61" s="16"/>
    </row>
    <row r="62" spans="1:17" ht="18.75" customHeight="1" x14ac:dyDescent="0.3">
      <c r="A62" s="89"/>
      <c r="B62" s="72" t="s">
        <v>347</v>
      </c>
      <c r="C62" s="72"/>
      <c r="D62" s="84">
        <f>SUM(D32:D61)</f>
        <v>30187.68</v>
      </c>
      <c r="E62" s="74"/>
      <c r="F62" s="83">
        <f>SUM(F39:F61)</f>
        <v>477.29949999999997</v>
      </c>
      <c r="G62" s="83">
        <f t="shared" ref="G62:M62" si="15">SUM(G32:G61)</f>
        <v>4262.6188999999986</v>
      </c>
      <c r="H62" s="83">
        <f t="shared" si="15"/>
        <v>5031.4224999999997</v>
      </c>
      <c r="I62" s="83">
        <f t="shared" si="15"/>
        <v>0</v>
      </c>
      <c r="J62" s="83">
        <f t="shared" si="15"/>
        <v>0</v>
      </c>
      <c r="K62" s="83">
        <f t="shared" si="15"/>
        <v>0</v>
      </c>
      <c r="L62" s="83">
        <f t="shared" si="15"/>
        <v>63</v>
      </c>
      <c r="M62" s="83">
        <f t="shared" si="15"/>
        <v>63</v>
      </c>
      <c r="N62" s="76"/>
      <c r="O62" s="77"/>
      <c r="P62" s="184">
        <f>SUM(P32:P61)</f>
        <v>3161371307.1849999</v>
      </c>
      <c r="Q62" s="75"/>
    </row>
    <row r="63" spans="1:17" ht="13.5" customHeight="1" x14ac:dyDescent="0.3">
      <c r="A63" s="63">
        <v>4</v>
      </c>
      <c r="B63" s="64" t="s">
        <v>46</v>
      </c>
      <c r="C63" s="65"/>
      <c r="D63" s="66"/>
      <c r="E63" s="67"/>
      <c r="F63" s="82"/>
      <c r="G63" s="82"/>
      <c r="H63" s="82"/>
      <c r="I63" s="82"/>
      <c r="J63" s="82"/>
      <c r="K63" s="82"/>
      <c r="L63" s="82"/>
      <c r="M63" s="82"/>
      <c r="N63" s="69"/>
      <c r="O63" s="70"/>
      <c r="P63" s="233"/>
      <c r="Q63" s="68"/>
    </row>
    <row r="64" spans="1:17" ht="18.75" customHeight="1" x14ac:dyDescent="0.3">
      <c r="A64" s="102"/>
      <c r="B64" s="98" t="s">
        <v>57</v>
      </c>
      <c r="C64" s="99" t="s">
        <v>29</v>
      </c>
      <c r="D64" s="96">
        <v>175</v>
      </c>
      <c r="E64" s="101" t="s">
        <v>645</v>
      </c>
      <c r="F64" s="96">
        <f>4%*D64</f>
        <v>7</v>
      </c>
      <c r="G64" s="96">
        <f>2%*D64</f>
        <v>3.5</v>
      </c>
      <c r="H64" s="96">
        <f>SUM(F64:G64)</f>
        <v>10.5</v>
      </c>
      <c r="I64" s="97">
        <v>0</v>
      </c>
      <c r="J64" s="97"/>
      <c r="K64" s="97"/>
      <c r="L64" s="97">
        <v>2</v>
      </c>
      <c r="M64" s="97">
        <f t="shared" ref="M64:M72" si="16">SUM(I64:L64)</f>
        <v>2</v>
      </c>
      <c r="N64" s="35" t="s">
        <v>51</v>
      </c>
      <c r="O64" s="36" t="s">
        <v>229</v>
      </c>
      <c r="P64" s="234">
        <f>G64*1.036*20%*8000000</f>
        <v>5801600.0000000009</v>
      </c>
      <c r="Q64" s="16"/>
    </row>
    <row r="65" spans="1:20" ht="16.5" customHeight="1" x14ac:dyDescent="0.3">
      <c r="A65" s="13"/>
      <c r="B65" s="14" t="s">
        <v>58</v>
      </c>
      <c r="C65" s="15" t="s">
        <v>33</v>
      </c>
      <c r="D65" s="26">
        <v>368</v>
      </c>
      <c r="E65" s="47" t="s">
        <v>185</v>
      </c>
      <c r="F65" s="26">
        <f>4%*D65</f>
        <v>14.72</v>
      </c>
      <c r="G65" s="26">
        <f>8%*D65</f>
        <v>29.44</v>
      </c>
      <c r="H65" s="26">
        <f t="shared" ref="H65:H72" si="17">SUM(F65:G65)</f>
        <v>44.160000000000004</v>
      </c>
      <c r="I65" s="19">
        <v>0</v>
      </c>
      <c r="J65" s="19"/>
      <c r="K65" s="19">
        <v>0</v>
      </c>
      <c r="L65" s="19">
        <v>5</v>
      </c>
      <c r="M65" s="19">
        <f t="shared" si="16"/>
        <v>5</v>
      </c>
      <c r="N65" s="35" t="s">
        <v>51</v>
      </c>
      <c r="O65" s="36" t="s">
        <v>138</v>
      </c>
      <c r="P65" s="234">
        <f>G65*1.036*20%*8000000</f>
        <v>48799744.000000007</v>
      </c>
      <c r="Q65" s="16"/>
    </row>
    <row r="66" spans="1:20" ht="17.25" customHeight="1" x14ac:dyDescent="0.3">
      <c r="A66" s="13"/>
      <c r="B66" s="98" t="s">
        <v>59</v>
      </c>
      <c r="C66" s="99" t="s">
        <v>42</v>
      </c>
      <c r="D66" s="96">
        <v>774.98</v>
      </c>
      <c r="E66" s="101" t="s">
        <v>645</v>
      </c>
      <c r="F66" s="96">
        <f>4%*D66</f>
        <v>30.999200000000002</v>
      </c>
      <c r="G66" s="97">
        <f>13%*D66</f>
        <v>100.7474</v>
      </c>
      <c r="H66" s="96">
        <f t="shared" si="17"/>
        <v>131.7466</v>
      </c>
      <c r="I66" s="97">
        <v>0</v>
      </c>
      <c r="J66" s="97"/>
      <c r="K66" s="97">
        <v>0</v>
      </c>
      <c r="L66" s="97">
        <v>5</v>
      </c>
      <c r="M66" s="97">
        <f t="shared" si="16"/>
        <v>5</v>
      </c>
      <c r="N66" s="35"/>
      <c r="O66" s="36"/>
      <c r="P66" s="234">
        <f>G66*1.036*20%*8000000</f>
        <v>166998890.24000004</v>
      </c>
      <c r="Q66" s="16"/>
    </row>
    <row r="67" spans="1:20" ht="18.75" customHeight="1" x14ac:dyDescent="0.3">
      <c r="A67" s="13"/>
      <c r="B67" s="98" t="s">
        <v>60</v>
      </c>
      <c r="C67" s="99" t="s">
        <v>21</v>
      </c>
      <c r="D67" s="96">
        <v>949.55</v>
      </c>
      <c r="E67" s="101" t="s">
        <v>645</v>
      </c>
      <c r="F67" s="96">
        <f>2%*D67</f>
        <v>18.991</v>
      </c>
      <c r="G67" s="97">
        <f>3%*D67</f>
        <v>28.486499999999996</v>
      </c>
      <c r="H67" s="96">
        <f t="shared" si="17"/>
        <v>47.477499999999992</v>
      </c>
      <c r="I67" s="97">
        <v>0</v>
      </c>
      <c r="J67" s="97"/>
      <c r="K67" s="97">
        <v>0</v>
      </c>
      <c r="L67" s="97">
        <v>3</v>
      </c>
      <c r="M67" s="97">
        <f t="shared" si="16"/>
        <v>3</v>
      </c>
      <c r="N67" s="35"/>
      <c r="O67" s="36"/>
      <c r="P67" s="234">
        <f t="shared" ref="P67:P69" si="18">G67*1.036*20%*8500000</f>
        <v>50170423.799999997</v>
      </c>
      <c r="Q67" s="16"/>
      <c r="S67" s="1" t="s">
        <v>641</v>
      </c>
    </row>
    <row r="68" spans="1:20" ht="12.75" customHeight="1" x14ac:dyDescent="0.3">
      <c r="A68" s="13"/>
      <c r="B68" s="98"/>
      <c r="C68" s="99"/>
      <c r="D68" s="96"/>
      <c r="E68" s="47" t="s">
        <v>185</v>
      </c>
      <c r="F68" s="96">
        <f>1%*D67</f>
        <v>9.4954999999999998</v>
      </c>
      <c r="G68" s="96">
        <f>1%*D67</f>
        <v>9.4954999999999998</v>
      </c>
      <c r="H68" s="96">
        <f>SUM(F68:G68)</f>
        <v>18.991</v>
      </c>
      <c r="I68" s="19">
        <v>0</v>
      </c>
      <c r="J68" s="19">
        <v>0</v>
      </c>
      <c r="K68" s="19">
        <v>0</v>
      </c>
      <c r="L68" s="19">
        <v>2</v>
      </c>
      <c r="M68" s="19">
        <f t="shared" si="16"/>
        <v>2</v>
      </c>
      <c r="N68" s="35"/>
      <c r="O68" s="36"/>
      <c r="P68" s="234">
        <f t="shared" si="18"/>
        <v>16723474.600000001</v>
      </c>
      <c r="Q68" s="16"/>
    </row>
    <row r="69" spans="1:20" ht="18.75" customHeight="1" x14ac:dyDescent="0.3">
      <c r="A69" s="16"/>
      <c r="B69" s="14" t="s">
        <v>61</v>
      </c>
      <c r="C69" s="15" t="s">
        <v>22</v>
      </c>
      <c r="D69" s="26">
        <v>1223.55</v>
      </c>
      <c r="E69" s="101" t="s">
        <v>645</v>
      </c>
      <c r="F69" s="26">
        <f>2%*D69</f>
        <v>24.471</v>
      </c>
      <c r="G69" s="19">
        <f>3%*D69</f>
        <v>36.706499999999998</v>
      </c>
      <c r="H69" s="26">
        <f t="shared" si="17"/>
        <v>61.177499999999995</v>
      </c>
      <c r="I69" s="19">
        <v>0</v>
      </c>
      <c r="J69" s="19"/>
      <c r="K69" s="19"/>
      <c r="L69" s="19">
        <v>3</v>
      </c>
      <c r="M69" s="19">
        <f t="shared" si="16"/>
        <v>3</v>
      </c>
      <c r="N69" s="35"/>
      <c r="O69" s="36"/>
      <c r="P69" s="234">
        <f t="shared" si="18"/>
        <v>64647487.800000012</v>
      </c>
      <c r="Q69" s="16"/>
    </row>
    <row r="70" spans="1:20" ht="16.5" customHeight="1" x14ac:dyDescent="0.3">
      <c r="A70" s="87"/>
      <c r="B70" s="55" t="s">
        <v>62</v>
      </c>
      <c r="C70" s="56" t="s">
        <v>43</v>
      </c>
      <c r="D70" s="57">
        <v>133</v>
      </c>
      <c r="E70" s="101" t="s">
        <v>645</v>
      </c>
      <c r="F70" s="19">
        <f>6%*D70</f>
        <v>7.9799999999999995</v>
      </c>
      <c r="G70" s="19">
        <f>2%*D70</f>
        <v>2.66</v>
      </c>
      <c r="H70" s="26">
        <f t="shared" si="17"/>
        <v>10.64</v>
      </c>
      <c r="I70" s="19">
        <v>0</v>
      </c>
      <c r="J70" s="19"/>
      <c r="K70" s="19">
        <v>0</v>
      </c>
      <c r="L70" s="19">
        <v>2</v>
      </c>
      <c r="M70" s="19">
        <f t="shared" si="16"/>
        <v>2</v>
      </c>
      <c r="N70" s="35"/>
      <c r="O70" s="36"/>
      <c r="P70" s="234">
        <f>G70*1.036*20%*8000000</f>
        <v>4409216.0000000009</v>
      </c>
      <c r="Q70" s="16"/>
    </row>
    <row r="71" spans="1:20" ht="17.25" customHeight="1" x14ac:dyDescent="0.3">
      <c r="A71" s="87"/>
      <c r="B71" s="14" t="s">
        <v>63</v>
      </c>
      <c r="C71" s="15" t="s">
        <v>44</v>
      </c>
      <c r="D71" s="26">
        <v>324.64999999999998</v>
      </c>
      <c r="E71" s="101" t="s">
        <v>645</v>
      </c>
      <c r="F71" s="135">
        <f>2%*D71</f>
        <v>6.4929999999999994</v>
      </c>
      <c r="G71" s="19">
        <f>1%*D71</f>
        <v>3.2464999999999997</v>
      </c>
      <c r="H71" s="26">
        <f t="shared" si="17"/>
        <v>9.7394999999999996</v>
      </c>
      <c r="I71" s="135">
        <v>0</v>
      </c>
      <c r="J71" s="135"/>
      <c r="K71" s="135">
        <v>0</v>
      </c>
      <c r="L71" s="135">
        <v>2</v>
      </c>
      <c r="M71" s="135">
        <f t="shared" ref="M71" si="19">SUM(I71:L71)</f>
        <v>2</v>
      </c>
      <c r="N71" s="80"/>
      <c r="O71" s="81"/>
      <c r="P71" s="234">
        <f>G71*1.036*20%*8000000</f>
        <v>5381398.4000000004</v>
      </c>
      <c r="Q71" s="87"/>
    </row>
    <row r="72" spans="1:20" ht="21" customHeight="1" x14ac:dyDescent="0.3">
      <c r="A72" s="16"/>
      <c r="B72" s="14" t="s">
        <v>63</v>
      </c>
      <c r="C72" s="15" t="s">
        <v>32</v>
      </c>
      <c r="D72" s="26">
        <v>248.5</v>
      </c>
      <c r="E72" s="101" t="s">
        <v>645</v>
      </c>
      <c r="F72" s="135">
        <f>2%*D72</f>
        <v>4.97</v>
      </c>
      <c r="G72" s="19">
        <f>2%*D72</f>
        <v>4.97</v>
      </c>
      <c r="H72" s="26">
        <f t="shared" si="17"/>
        <v>9.94</v>
      </c>
      <c r="I72" s="135">
        <v>0</v>
      </c>
      <c r="J72" s="135"/>
      <c r="K72" s="135">
        <v>0</v>
      </c>
      <c r="L72" s="135">
        <v>2</v>
      </c>
      <c r="M72" s="135">
        <f t="shared" si="16"/>
        <v>2</v>
      </c>
      <c r="N72" s="80"/>
      <c r="O72" s="81"/>
      <c r="P72" s="234">
        <f>G72*1.036*20%*8000000</f>
        <v>8238272</v>
      </c>
      <c r="Q72" s="87"/>
    </row>
    <row r="73" spans="1:20" ht="16.5" customHeight="1" x14ac:dyDescent="0.3">
      <c r="A73" s="75"/>
      <c r="B73" s="72" t="s">
        <v>348</v>
      </c>
      <c r="C73" s="72"/>
      <c r="D73" s="73">
        <f>SUM(D64:D72)</f>
        <v>4197.2299999999996</v>
      </c>
      <c r="E73" s="74"/>
      <c r="F73" s="73">
        <f t="shared" ref="F73:K73" si="20">SUM(F64:F72)</f>
        <v>125.11970000000001</v>
      </c>
      <c r="G73" s="83">
        <f t="shared" si="20"/>
        <v>219.25239999999999</v>
      </c>
      <c r="H73" s="73">
        <f t="shared" si="20"/>
        <v>344.37209999999999</v>
      </c>
      <c r="I73" s="83">
        <f t="shared" si="20"/>
        <v>0</v>
      </c>
      <c r="J73" s="83">
        <f t="shared" si="20"/>
        <v>0</v>
      </c>
      <c r="K73" s="83">
        <f t="shared" si="20"/>
        <v>0</v>
      </c>
      <c r="L73" s="83">
        <f>SUM(L63:L72)</f>
        <v>26</v>
      </c>
      <c r="M73" s="83">
        <f>SUM(M64:M72)</f>
        <v>26</v>
      </c>
      <c r="N73" s="76"/>
      <c r="O73" s="77"/>
      <c r="P73" s="184">
        <f>SUM(P64:P72)</f>
        <v>371170506.84000003</v>
      </c>
      <c r="Q73" s="75"/>
    </row>
    <row r="74" spans="1:20" ht="14.25" customHeight="1" x14ac:dyDescent="0.3">
      <c r="A74" s="63">
        <v>5</v>
      </c>
      <c r="B74" s="64" t="s">
        <v>96</v>
      </c>
      <c r="C74" s="65"/>
      <c r="D74" s="66"/>
      <c r="E74" s="67"/>
      <c r="F74" s="66"/>
      <c r="G74" s="66"/>
      <c r="H74" s="66"/>
      <c r="I74" s="82"/>
      <c r="J74" s="82"/>
      <c r="K74" s="82"/>
      <c r="L74" s="82"/>
      <c r="M74" s="82"/>
      <c r="N74" s="69"/>
      <c r="O74" s="70"/>
      <c r="P74" s="233"/>
      <c r="Q74" s="68"/>
    </row>
    <row r="75" spans="1:20" ht="16.5" customHeight="1" x14ac:dyDescent="0.3">
      <c r="A75" s="16"/>
      <c r="B75" s="14" t="s">
        <v>57</v>
      </c>
      <c r="C75" s="15" t="s">
        <v>22</v>
      </c>
      <c r="D75" s="26">
        <v>13.6</v>
      </c>
      <c r="E75" s="47" t="s">
        <v>187</v>
      </c>
      <c r="F75" s="26">
        <f>60%*D75</f>
        <v>8.16</v>
      </c>
      <c r="G75" s="26">
        <f>10%*D75</f>
        <v>1.36</v>
      </c>
      <c r="H75" s="26">
        <f t="shared" ref="H75:H83" si="21">SUM(F75:G75)</f>
        <v>9.52</v>
      </c>
      <c r="I75" s="19">
        <v>0</v>
      </c>
      <c r="J75" s="19"/>
      <c r="K75" s="19"/>
      <c r="L75" s="19">
        <v>2</v>
      </c>
      <c r="M75" s="19">
        <f>SUM(I75:L75)</f>
        <v>2</v>
      </c>
      <c r="N75" s="35"/>
      <c r="O75" s="36"/>
      <c r="P75" s="234">
        <f t="shared" ref="P75:P83" si="22">G75*0.486*30%*0</f>
        <v>0</v>
      </c>
      <c r="Q75" s="16"/>
    </row>
    <row r="76" spans="1:20" ht="17.25" customHeight="1" x14ac:dyDescent="0.3">
      <c r="A76" s="16"/>
      <c r="B76" s="14" t="s">
        <v>58</v>
      </c>
      <c r="C76" s="15" t="s">
        <v>21</v>
      </c>
      <c r="D76" s="26">
        <v>24.61</v>
      </c>
      <c r="E76" s="47" t="s">
        <v>187</v>
      </c>
      <c r="F76" s="26">
        <f>20%*D76</f>
        <v>4.9220000000000006</v>
      </c>
      <c r="G76" s="26">
        <f>41%*D76</f>
        <v>10.0901</v>
      </c>
      <c r="H76" s="26">
        <f t="shared" si="21"/>
        <v>15.0121</v>
      </c>
      <c r="I76" s="19">
        <v>0</v>
      </c>
      <c r="J76" s="19"/>
      <c r="K76" s="19"/>
      <c r="L76" s="19">
        <v>3</v>
      </c>
      <c r="M76" s="19">
        <f t="shared" ref="M76:M83" si="23">SUM(I76:L76)</f>
        <v>3</v>
      </c>
      <c r="N76" s="35"/>
      <c r="O76" s="36" t="s">
        <v>50</v>
      </c>
      <c r="P76" s="234">
        <f t="shared" si="22"/>
        <v>0</v>
      </c>
      <c r="Q76" s="16"/>
      <c r="S76" s="1" t="s">
        <v>636</v>
      </c>
      <c r="T76" s="1" t="s">
        <v>637</v>
      </c>
    </row>
    <row r="77" spans="1:20" ht="16.5" customHeight="1" x14ac:dyDescent="0.3">
      <c r="A77" s="16"/>
      <c r="B77" s="14"/>
      <c r="C77" s="15"/>
      <c r="D77" s="26"/>
      <c r="E77" s="47" t="s">
        <v>631</v>
      </c>
      <c r="F77" s="96">
        <f>10%*D76</f>
        <v>2.4610000000000003</v>
      </c>
      <c r="G77" s="96">
        <f>10%*D76</f>
        <v>2.4610000000000003</v>
      </c>
      <c r="H77" s="96">
        <f t="shared" si="21"/>
        <v>4.9220000000000006</v>
      </c>
      <c r="I77" s="97">
        <v>0</v>
      </c>
      <c r="J77" s="97">
        <v>0</v>
      </c>
      <c r="K77" s="97">
        <v>0</v>
      </c>
      <c r="L77" s="97">
        <v>3</v>
      </c>
      <c r="M77" s="97">
        <f t="shared" si="23"/>
        <v>3</v>
      </c>
      <c r="N77" s="35"/>
      <c r="O77" s="36"/>
      <c r="P77" s="234">
        <f t="shared" si="22"/>
        <v>0</v>
      </c>
      <c r="Q77" s="16"/>
      <c r="T77" s="1" t="s">
        <v>638</v>
      </c>
    </row>
    <row r="78" spans="1:20" ht="16.5" customHeight="1" x14ac:dyDescent="0.3">
      <c r="A78" s="16"/>
      <c r="B78" s="14" t="s">
        <v>59</v>
      </c>
      <c r="C78" s="15" t="s">
        <v>43</v>
      </c>
      <c r="D78" s="26">
        <v>22.64</v>
      </c>
      <c r="E78" s="47" t="s">
        <v>187</v>
      </c>
      <c r="F78" s="96">
        <f>10%*D78</f>
        <v>2.2640000000000002</v>
      </c>
      <c r="G78" s="26">
        <f>10%*D78</f>
        <v>2.2640000000000002</v>
      </c>
      <c r="H78" s="26">
        <f t="shared" si="21"/>
        <v>4.5280000000000005</v>
      </c>
      <c r="I78" s="19">
        <v>0</v>
      </c>
      <c r="J78" s="19"/>
      <c r="K78" s="19"/>
      <c r="L78" s="19">
        <v>2</v>
      </c>
      <c r="M78" s="19">
        <f t="shared" si="23"/>
        <v>2</v>
      </c>
      <c r="N78" s="35"/>
      <c r="O78" s="36" t="s">
        <v>137</v>
      </c>
      <c r="P78" s="234">
        <f t="shared" si="22"/>
        <v>0</v>
      </c>
      <c r="Q78" s="16"/>
    </row>
    <row r="79" spans="1:20" ht="18.75" customHeight="1" x14ac:dyDescent="0.3">
      <c r="A79" s="16"/>
      <c r="B79" s="14" t="s">
        <v>60</v>
      </c>
      <c r="C79" s="15" t="s">
        <v>44</v>
      </c>
      <c r="D79" s="26">
        <v>33</v>
      </c>
      <c r="E79" s="47" t="s">
        <v>187</v>
      </c>
      <c r="F79" s="26">
        <f>12%*D79</f>
        <v>3.96</v>
      </c>
      <c r="G79" s="26">
        <f>10%*D79</f>
        <v>3.3000000000000003</v>
      </c>
      <c r="H79" s="26">
        <f t="shared" si="21"/>
        <v>7.26</v>
      </c>
      <c r="I79" s="19">
        <v>0</v>
      </c>
      <c r="J79" s="19">
        <v>0</v>
      </c>
      <c r="K79" s="19">
        <v>0</v>
      </c>
      <c r="L79" s="19">
        <v>2</v>
      </c>
      <c r="M79" s="19">
        <f t="shared" si="23"/>
        <v>2</v>
      </c>
      <c r="N79" s="35"/>
      <c r="O79" s="36" t="s">
        <v>145</v>
      </c>
      <c r="P79" s="234">
        <f t="shared" si="22"/>
        <v>0</v>
      </c>
      <c r="Q79" s="16"/>
    </row>
    <row r="80" spans="1:20" ht="18.75" customHeight="1" x14ac:dyDescent="0.3">
      <c r="A80" s="16"/>
      <c r="B80" s="14" t="s">
        <v>61</v>
      </c>
      <c r="C80" s="15" t="s">
        <v>33</v>
      </c>
      <c r="D80" s="26">
        <v>8.3000000000000007</v>
      </c>
      <c r="E80" s="47" t="s">
        <v>187</v>
      </c>
      <c r="F80" s="26">
        <f>10%*D80</f>
        <v>0.83000000000000007</v>
      </c>
      <c r="G80" s="26">
        <f>10%*D80</f>
        <v>0.83000000000000007</v>
      </c>
      <c r="H80" s="26">
        <f t="shared" si="21"/>
        <v>1.6600000000000001</v>
      </c>
      <c r="I80" s="19">
        <v>0</v>
      </c>
      <c r="J80" s="19">
        <v>0</v>
      </c>
      <c r="K80" s="19">
        <v>0</v>
      </c>
      <c r="L80" s="19"/>
      <c r="M80" s="19">
        <f t="shared" si="23"/>
        <v>0</v>
      </c>
      <c r="N80" s="35"/>
      <c r="O80" s="36" t="s">
        <v>626</v>
      </c>
      <c r="P80" s="234">
        <f t="shared" si="22"/>
        <v>0</v>
      </c>
      <c r="Q80" s="16"/>
    </row>
    <row r="81" spans="1:20" ht="19.5" customHeight="1" x14ac:dyDescent="0.3">
      <c r="A81" s="16"/>
      <c r="B81" s="14" t="s">
        <v>62</v>
      </c>
      <c r="C81" s="15" t="s">
        <v>655</v>
      </c>
      <c r="D81" s="26">
        <v>5</v>
      </c>
      <c r="E81" s="47" t="s">
        <v>187</v>
      </c>
      <c r="F81" s="26">
        <f>10%*D81</f>
        <v>0.5</v>
      </c>
      <c r="G81" s="26">
        <f>12%*D81</f>
        <v>0.6</v>
      </c>
      <c r="H81" s="26">
        <f t="shared" si="21"/>
        <v>1.1000000000000001</v>
      </c>
      <c r="I81" s="19">
        <v>0</v>
      </c>
      <c r="J81" s="19">
        <v>0</v>
      </c>
      <c r="K81" s="19">
        <v>0</v>
      </c>
      <c r="L81" s="19"/>
      <c r="M81" s="19">
        <f t="shared" si="23"/>
        <v>0</v>
      </c>
      <c r="N81" s="35"/>
      <c r="O81" s="36"/>
      <c r="P81" s="234">
        <f t="shared" si="22"/>
        <v>0</v>
      </c>
      <c r="Q81" s="16"/>
    </row>
    <row r="82" spans="1:20" ht="19.5" customHeight="1" x14ac:dyDescent="0.3">
      <c r="A82" s="16"/>
      <c r="B82" s="14">
        <v>9</v>
      </c>
      <c r="C82" s="15" t="s">
        <v>30</v>
      </c>
      <c r="D82" s="26">
        <v>11.5</v>
      </c>
      <c r="E82" s="47" t="s">
        <v>187</v>
      </c>
      <c r="F82" s="26">
        <f>12%*D82</f>
        <v>1.38</v>
      </c>
      <c r="G82" s="26">
        <f>15%*D82</f>
        <v>1.7249999999999999</v>
      </c>
      <c r="H82" s="26">
        <f t="shared" si="21"/>
        <v>3.1049999999999995</v>
      </c>
      <c r="I82" s="19">
        <v>0</v>
      </c>
      <c r="J82" s="19">
        <v>0</v>
      </c>
      <c r="K82" s="19"/>
      <c r="L82" s="19">
        <v>1</v>
      </c>
      <c r="M82" s="19">
        <f t="shared" si="23"/>
        <v>1</v>
      </c>
      <c r="N82" s="35"/>
      <c r="O82" s="36"/>
      <c r="P82" s="234">
        <f t="shared" si="22"/>
        <v>0</v>
      </c>
      <c r="Q82" s="16"/>
    </row>
    <row r="83" spans="1:20" ht="17.25" customHeight="1" x14ac:dyDescent="0.3">
      <c r="A83" s="87"/>
      <c r="B83" s="55" t="s">
        <v>64</v>
      </c>
      <c r="C83" s="56" t="s">
        <v>31</v>
      </c>
      <c r="D83" s="57">
        <v>6</v>
      </c>
      <c r="E83" s="47" t="s">
        <v>187</v>
      </c>
      <c r="F83" s="26">
        <f>18%*D83</f>
        <v>1.08</v>
      </c>
      <c r="G83" s="26">
        <f>10%*D83</f>
        <v>0.60000000000000009</v>
      </c>
      <c r="H83" s="26">
        <f t="shared" si="21"/>
        <v>1.6800000000000002</v>
      </c>
      <c r="I83" s="79">
        <v>0</v>
      </c>
      <c r="J83" s="79">
        <v>0</v>
      </c>
      <c r="K83" s="79">
        <v>0</v>
      </c>
      <c r="L83" s="79">
        <v>1</v>
      </c>
      <c r="M83" s="79">
        <f t="shared" si="23"/>
        <v>1</v>
      </c>
      <c r="N83" s="80"/>
      <c r="O83" s="81"/>
      <c r="P83" s="234">
        <f t="shared" si="22"/>
        <v>0</v>
      </c>
      <c r="Q83" s="87"/>
    </row>
    <row r="84" spans="1:20" ht="15.75" customHeight="1" x14ac:dyDescent="0.3">
      <c r="A84" s="75"/>
      <c r="B84" s="72" t="s">
        <v>349</v>
      </c>
      <c r="C84" s="72"/>
      <c r="D84" s="73">
        <f>SUM(D75:D83)</f>
        <v>124.64999999999999</v>
      </c>
      <c r="E84" s="74"/>
      <c r="F84" s="73">
        <f t="shared" ref="F84:K84" si="24">SUM(F75:F83)</f>
        <v>25.557000000000002</v>
      </c>
      <c r="G84" s="73">
        <f t="shared" si="24"/>
        <v>23.230100000000007</v>
      </c>
      <c r="H84" s="73">
        <f t="shared" si="24"/>
        <v>48.787100000000002</v>
      </c>
      <c r="I84" s="83">
        <f t="shared" si="24"/>
        <v>0</v>
      </c>
      <c r="J84" s="83">
        <f t="shared" si="24"/>
        <v>0</v>
      </c>
      <c r="K84" s="83">
        <f t="shared" si="24"/>
        <v>0</v>
      </c>
      <c r="L84" s="83">
        <f>SUM(L74:L83)</f>
        <v>14</v>
      </c>
      <c r="M84" s="83">
        <f>SUM(M75:M83)</f>
        <v>14</v>
      </c>
      <c r="N84" s="76"/>
      <c r="O84" s="77"/>
      <c r="P84" s="184">
        <f>SUM(P75:P83)</f>
        <v>0</v>
      </c>
      <c r="Q84" s="75"/>
    </row>
    <row r="85" spans="1:20" ht="15.75" customHeight="1" x14ac:dyDescent="0.3">
      <c r="A85" s="103">
        <v>6</v>
      </c>
      <c r="B85" s="104" t="s">
        <v>116</v>
      </c>
      <c r="C85" s="104"/>
      <c r="D85" s="105"/>
      <c r="E85" s="106"/>
      <c r="F85" s="105"/>
      <c r="G85" s="107"/>
      <c r="H85" s="105"/>
      <c r="I85" s="107"/>
      <c r="J85" s="107"/>
      <c r="K85" s="107"/>
      <c r="L85" s="107"/>
      <c r="M85" s="107"/>
      <c r="N85" s="69"/>
      <c r="O85" s="70"/>
      <c r="P85" s="233"/>
      <c r="Q85" s="68"/>
      <c r="S85" s="1" t="s">
        <v>596</v>
      </c>
    </row>
    <row r="86" spans="1:20" ht="14.25" customHeight="1" x14ac:dyDescent="0.3">
      <c r="A86" s="27"/>
      <c r="B86" s="152" t="s">
        <v>57</v>
      </c>
      <c r="C86" s="99" t="s">
        <v>30</v>
      </c>
      <c r="D86" s="154">
        <v>54.84</v>
      </c>
      <c r="E86" s="101" t="s">
        <v>607</v>
      </c>
      <c r="F86" s="154">
        <f>7%*D86</f>
        <v>3.8388000000000004</v>
      </c>
      <c r="G86" s="155">
        <f>13%*D86</f>
        <v>7.1292000000000009</v>
      </c>
      <c r="H86" s="154">
        <f t="shared" ref="H86:H91" si="25">SUM(F86:G86)</f>
        <v>10.968000000000002</v>
      </c>
      <c r="I86" s="155">
        <v>0</v>
      </c>
      <c r="J86" s="155"/>
      <c r="K86" s="155"/>
      <c r="L86" s="155">
        <v>3</v>
      </c>
      <c r="M86" s="155">
        <f>SUM(I86:L86)</f>
        <v>3</v>
      </c>
      <c r="N86" s="156" t="s">
        <v>86</v>
      </c>
      <c r="O86" s="36" t="s">
        <v>271</v>
      </c>
      <c r="P86" s="235">
        <f t="shared" ref="P86:P91" si="26">G86*0.347*30*21000000</f>
        <v>1558514412</v>
      </c>
      <c r="Q86" s="27"/>
      <c r="S86" s="1" t="s">
        <v>597</v>
      </c>
      <c r="T86" s="1" t="s">
        <v>598</v>
      </c>
    </row>
    <row r="87" spans="1:20" ht="12.75" customHeight="1" x14ac:dyDescent="0.3">
      <c r="A87" s="27"/>
      <c r="B87" s="152"/>
      <c r="C87" s="153"/>
      <c r="D87" s="154"/>
      <c r="E87" s="101" t="s">
        <v>625</v>
      </c>
      <c r="F87" s="154">
        <f>8%*D86</f>
        <v>4.3872</v>
      </c>
      <c r="G87" s="155">
        <f>8%*D86</f>
        <v>4.3872</v>
      </c>
      <c r="H87" s="154">
        <f t="shared" ref="H87" si="27">SUM(F87:G87)</f>
        <v>8.7744</v>
      </c>
      <c r="I87" s="155">
        <v>0</v>
      </c>
      <c r="J87" s="155"/>
      <c r="K87" s="155"/>
      <c r="L87" s="155">
        <v>2</v>
      </c>
      <c r="M87" s="155">
        <f>SUM(I87:L87)</f>
        <v>2</v>
      </c>
      <c r="N87" s="156"/>
      <c r="O87" s="40"/>
      <c r="P87" s="235">
        <f t="shared" si="26"/>
        <v>959085791.99999988</v>
      </c>
      <c r="Q87" s="27"/>
    </row>
    <row r="88" spans="1:20" ht="18" customHeight="1" x14ac:dyDescent="0.3">
      <c r="A88" s="16"/>
      <c r="B88" s="14" t="s">
        <v>58</v>
      </c>
      <c r="C88" s="15" t="s">
        <v>44</v>
      </c>
      <c r="D88" s="26">
        <v>84.65</v>
      </c>
      <c r="E88" s="47" t="s">
        <v>182</v>
      </c>
      <c r="F88" s="26">
        <f>6%*D88</f>
        <v>5.0789999999999997</v>
      </c>
      <c r="G88" s="19">
        <f>12%*D88</f>
        <v>10.157999999999999</v>
      </c>
      <c r="H88" s="26">
        <f t="shared" si="25"/>
        <v>15.236999999999998</v>
      </c>
      <c r="I88" s="19">
        <v>0</v>
      </c>
      <c r="J88" s="19"/>
      <c r="K88" s="19"/>
      <c r="L88" s="19">
        <v>3</v>
      </c>
      <c r="M88" s="19">
        <f t="shared" ref="M88:M91" si="28">SUM(I88:L88)</f>
        <v>3</v>
      </c>
      <c r="N88" s="35"/>
      <c r="O88" s="36" t="s">
        <v>272</v>
      </c>
      <c r="P88" s="235">
        <f t="shared" si="26"/>
        <v>2220640380</v>
      </c>
      <c r="Q88" s="16"/>
      <c r="S88" s="1" t="s">
        <v>599</v>
      </c>
      <c r="T88" s="1" t="s">
        <v>600</v>
      </c>
    </row>
    <row r="89" spans="1:20" ht="21" customHeight="1" x14ac:dyDescent="0.3">
      <c r="A89" s="16"/>
      <c r="B89" s="14"/>
      <c r="C89" s="15"/>
      <c r="D89" s="26"/>
      <c r="E89" s="101" t="s">
        <v>181</v>
      </c>
      <c r="F89" s="96">
        <f>10%*D88</f>
        <v>8.4650000000000016</v>
      </c>
      <c r="G89" s="97">
        <f>4%*D88</f>
        <v>3.3860000000000001</v>
      </c>
      <c r="H89" s="96">
        <f t="shared" si="25"/>
        <v>11.851000000000003</v>
      </c>
      <c r="I89" s="97">
        <v>0</v>
      </c>
      <c r="J89" s="97"/>
      <c r="K89" s="97">
        <v>0</v>
      </c>
      <c r="L89" s="97">
        <v>4</v>
      </c>
      <c r="M89" s="97">
        <f>SUM(I89:L89)</f>
        <v>4</v>
      </c>
      <c r="N89" s="35"/>
      <c r="O89" s="159" t="s">
        <v>273</v>
      </c>
      <c r="P89" s="235">
        <f t="shared" si="26"/>
        <v>740213459.99999988</v>
      </c>
      <c r="Q89" s="16"/>
    </row>
    <row r="90" spans="1:20" ht="23.25" customHeight="1" x14ac:dyDescent="0.3">
      <c r="A90" s="16"/>
      <c r="B90" s="14" t="s">
        <v>59</v>
      </c>
      <c r="C90" s="15" t="s">
        <v>33</v>
      </c>
      <c r="D90" s="26">
        <v>14.2</v>
      </c>
      <c r="E90" s="101" t="s">
        <v>181</v>
      </c>
      <c r="F90" s="26">
        <f>10%*D90</f>
        <v>1.42</v>
      </c>
      <c r="G90" s="240">
        <f>9%*D90</f>
        <v>1.2779999999999998</v>
      </c>
      <c r="H90" s="26">
        <f t="shared" si="25"/>
        <v>2.6979999999999995</v>
      </c>
      <c r="I90" s="19">
        <v>0</v>
      </c>
      <c r="J90" s="19"/>
      <c r="K90" s="19"/>
      <c r="L90" s="19"/>
      <c r="M90" s="19">
        <f t="shared" si="28"/>
        <v>0</v>
      </c>
      <c r="N90" s="35" t="s">
        <v>88</v>
      </c>
      <c r="O90" s="36" t="s">
        <v>274</v>
      </c>
      <c r="P90" s="235">
        <f t="shared" si="26"/>
        <v>279383579.99999994</v>
      </c>
      <c r="Q90" s="16"/>
      <c r="S90" s="1" t="s">
        <v>592</v>
      </c>
    </row>
    <row r="91" spans="1:20" ht="26.25" customHeight="1" x14ac:dyDescent="0.3">
      <c r="A91" s="108"/>
      <c r="B91" s="128" t="s">
        <v>61</v>
      </c>
      <c r="C91" s="126" t="s">
        <v>35</v>
      </c>
      <c r="D91" s="127">
        <v>36.72</v>
      </c>
      <c r="E91" s="142" t="s">
        <v>183</v>
      </c>
      <c r="F91" s="127">
        <f>9%*D91</f>
        <v>3.3047999999999997</v>
      </c>
      <c r="G91" s="240">
        <f>4%*D91</f>
        <v>1.4687999999999999</v>
      </c>
      <c r="H91" s="127">
        <f t="shared" si="25"/>
        <v>4.7736000000000001</v>
      </c>
      <c r="I91" s="143">
        <v>0</v>
      </c>
      <c r="J91" s="143">
        <v>0</v>
      </c>
      <c r="K91" s="143">
        <v>0</v>
      </c>
      <c r="L91" s="143">
        <v>3</v>
      </c>
      <c r="M91" s="143">
        <f t="shared" si="28"/>
        <v>3</v>
      </c>
      <c r="N91" s="157" t="s">
        <v>254</v>
      </c>
      <c r="O91" s="158" t="s">
        <v>137</v>
      </c>
      <c r="P91" s="235">
        <f t="shared" si="26"/>
        <v>321094367.99999994</v>
      </c>
      <c r="Q91" s="87"/>
      <c r="S91" s="217" t="s">
        <v>601</v>
      </c>
      <c r="T91" s="216" t="s">
        <v>602</v>
      </c>
    </row>
    <row r="92" spans="1:20" ht="20.25" customHeight="1" x14ac:dyDescent="0.3">
      <c r="A92" s="75"/>
      <c r="B92" s="136" t="s">
        <v>351</v>
      </c>
      <c r="C92" s="137"/>
      <c r="D92" s="138">
        <f>SUM(D86:D91)</f>
        <v>190.41</v>
      </c>
      <c r="E92" s="139"/>
      <c r="F92" s="138">
        <f t="shared" ref="F92:M92" si="29">SUM(F86:F91)</f>
        <v>26.494800000000005</v>
      </c>
      <c r="G92" s="140">
        <f t="shared" si="29"/>
        <v>27.807199999999995</v>
      </c>
      <c r="H92" s="138">
        <f t="shared" si="29"/>
        <v>54.302</v>
      </c>
      <c r="I92" s="140">
        <f t="shared" si="29"/>
        <v>0</v>
      </c>
      <c r="J92" s="140">
        <f t="shared" si="29"/>
        <v>0</v>
      </c>
      <c r="K92" s="140">
        <f t="shared" si="29"/>
        <v>0</v>
      </c>
      <c r="L92" s="140">
        <f t="shared" si="29"/>
        <v>15</v>
      </c>
      <c r="M92" s="140">
        <f t="shared" si="29"/>
        <v>15</v>
      </c>
      <c r="N92" s="76"/>
      <c r="O92" s="77"/>
      <c r="P92" s="237">
        <f>SUM(P86:P91)</f>
        <v>6078931992</v>
      </c>
      <c r="Q92" s="75"/>
    </row>
    <row r="93" spans="1:20" ht="13.5" customHeight="1" x14ac:dyDescent="0.3">
      <c r="A93" s="63">
        <v>7</v>
      </c>
      <c r="B93" s="8" t="s">
        <v>117</v>
      </c>
      <c r="C93" s="10"/>
      <c r="D93" s="90"/>
      <c r="E93" s="67"/>
      <c r="F93" s="66"/>
      <c r="G93" s="218"/>
      <c r="H93" s="66"/>
      <c r="I93" s="82"/>
      <c r="J93" s="82"/>
      <c r="K93" s="82"/>
      <c r="L93" s="82"/>
      <c r="M93" s="82"/>
      <c r="N93" s="69"/>
      <c r="O93" s="70"/>
      <c r="P93" s="233"/>
      <c r="Q93" s="68"/>
    </row>
    <row r="94" spans="1:20" ht="24.75" customHeight="1" x14ac:dyDescent="0.3">
      <c r="A94" s="16"/>
      <c r="B94" s="14" t="s">
        <v>57</v>
      </c>
      <c r="C94" s="15" t="s">
        <v>22</v>
      </c>
      <c r="D94" s="26">
        <v>300.95</v>
      </c>
      <c r="E94" s="101" t="s">
        <v>203</v>
      </c>
      <c r="F94" s="96">
        <f>3%*D94</f>
        <v>9.0284999999999993</v>
      </c>
      <c r="G94" s="223">
        <f>38%*D94</f>
        <v>114.36099999999999</v>
      </c>
      <c r="H94" s="96">
        <f t="shared" ref="H94:H101" si="30">SUM(F94:G94)</f>
        <v>123.38949999999998</v>
      </c>
      <c r="I94" s="97">
        <v>0</v>
      </c>
      <c r="J94" s="97"/>
      <c r="K94" s="97"/>
      <c r="L94" s="97">
        <v>3</v>
      </c>
      <c r="M94" s="97">
        <f>SUM(I94:L94)</f>
        <v>3</v>
      </c>
      <c r="N94" s="35"/>
      <c r="O94" s="40" t="s">
        <v>211</v>
      </c>
      <c r="P94" s="238">
        <f t="shared" ref="P94:P101" si="31">G94*0.3*30%*40000000</f>
        <v>411699599.99999994</v>
      </c>
      <c r="Q94" s="16"/>
    </row>
    <row r="95" spans="1:20" ht="15" customHeight="1" x14ac:dyDescent="0.3">
      <c r="A95" s="16"/>
      <c r="B95" s="14"/>
      <c r="C95" s="15"/>
      <c r="D95" s="26"/>
      <c r="E95" s="101" t="s">
        <v>184</v>
      </c>
      <c r="F95" s="96">
        <f>2%*D94</f>
        <v>6.0190000000000001</v>
      </c>
      <c r="G95" s="97">
        <f>4%*D94</f>
        <v>12.038</v>
      </c>
      <c r="H95" s="96">
        <f>SUM(F95:G95)</f>
        <v>18.057000000000002</v>
      </c>
      <c r="I95" s="97">
        <v>0</v>
      </c>
      <c r="J95" s="97"/>
      <c r="K95" s="97">
        <v>0</v>
      </c>
      <c r="L95" s="97">
        <v>3</v>
      </c>
      <c r="M95" s="97">
        <f>SUM(I95:L95)</f>
        <v>3</v>
      </c>
      <c r="N95" s="35"/>
      <c r="O95" s="40"/>
      <c r="P95" s="238">
        <f t="shared" si="31"/>
        <v>43336799.999999993</v>
      </c>
      <c r="Q95" s="16"/>
    </row>
    <row r="96" spans="1:20" ht="32.25" customHeight="1" x14ac:dyDescent="0.3">
      <c r="A96" s="16"/>
      <c r="B96" s="98" t="s">
        <v>58</v>
      </c>
      <c r="C96" s="99" t="s">
        <v>42</v>
      </c>
      <c r="D96" s="26">
        <v>277.5</v>
      </c>
      <c r="E96" s="101" t="s">
        <v>203</v>
      </c>
      <c r="F96" s="96">
        <f>4%*D96</f>
        <v>11.1</v>
      </c>
      <c r="G96" s="97">
        <f>45%*D96</f>
        <v>124.875</v>
      </c>
      <c r="H96" s="96">
        <f t="shared" si="30"/>
        <v>135.97499999999999</v>
      </c>
      <c r="I96" s="97">
        <v>0</v>
      </c>
      <c r="J96" s="97"/>
      <c r="K96" s="97">
        <v>0</v>
      </c>
      <c r="L96" s="97">
        <v>2</v>
      </c>
      <c r="M96" s="97">
        <f>SUM(I96:L96)</f>
        <v>2</v>
      </c>
      <c r="N96" s="35"/>
      <c r="O96" s="40" t="s">
        <v>137</v>
      </c>
      <c r="P96" s="238">
        <f t="shared" si="31"/>
        <v>449550000</v>
      </c>
      <c r="Q96" s="16"/>
      <c r="S96" s="1" t="s">
        <v>593</v>
      </c>
    </row>
    <row r="97" spans="1:19" ht="14.25" customHeight="1" x14ac:dyDescent="0.3">
      <c r="A97" s="16"/>
      <c r="B97" s="14"/>
      <c r="C97" s="15"/>
      <c r="D97" s="26"/>
      <c r="E97" s="101" t="s">
        <v>184</v>
      </c>
      <c r="F97" s="96">
        <f>4%*D96</f>
        <v>11.1</v>
      </c>
      <c r="G97" s="97">
        <f>5%*D96</f>
        <v>13.875</v>
      </c>
      <c r="H97" s="96">
        <f>SUM(F97:G97)</f>
        <v>24.975000000000001</v>
      </c>
      <c r="I97" s="97"/>
      <c r="J97" s="97"/>
      <c r="K97" s="97"/>
      <c r="L97" s="97"/>
      <c r="M97" s="97"/>
      <c r="N97" s="35"/>
      <c r="O97" s="40"/>
      <c r="P97" s="238">
        <f t="shared" si="31"/>
        <v>49949999.999999993</v>
      </c>
      <c r="Q97" s="16"/>
      <c r="S97" s="1" t="s">
        <v>594</v>
      </c>
    </row>
    <row r="98" spans="1:19" ht="22.5" customHeight="1" x14ac:dyDescent="0.3">
      <c r="A98" s="16"/>
      <c r="B98" s="14" t="s">
        <v>59</v>
      </c>
      <c r="C98" s="15" t="s">
        <v>21</v>
      </c>
      <c r="D98" s="18">
        <v>162.94999999999999</v>
      </c>
      <c r="E98" s="101" t="s">
        <v>203</v>
      </c>
      <c r="F98" s="225">
        <f>5%*D98</f>
        <v>8.1474999999999991</v>
      </c>
      <c r="G98" s="225">
        <f>29%*D98</f>
        <v>47.255499999999991</v>
      </c>
      <c r="H98" s="96">
        <f t="shared" si="30"/>
        <v>55.402999999999992</v>
      </c>
      <c r="I98" s="97">
        <v>0</v>
      </c>
      <c r="J98" s="97"/>
      <c r="K98" s="97"/>
      <c r="L98" s="97">
        <v>4</v>
      </c>
      <c r="M98" s="97">
        <f>SUM(I98:L98)</f>
        <v>4</v>
      </c>
      <c r="N98" s="35"/>
      <c r="O98" s="36"/>
      <c r="P98" s="238">
        <f t="shared" si="31"/>
        <v>170119799.99999994</v>
      </c>
      <c r="Q98" s="16"/>
      <c r="S98" s="1" t="s">
        <v>595</v>
      </c>
    </row>
    <row r="99" spans="1:19" ht="24" customHeight="1" x14ac:dyDescent="0.3">
      <c r="A99" s="16"/>
      <c r="B99" s="14" t="s">
        <v>60</v>
      </c>
      <c r="C99" s="15" t="s">
        <v>43</v>
      </c>
      <c r="D99" s="26">
        <v>461.8</v>
      </c>
      <c r="E99" s="101" t="s">
        <v>221</v>
      </c>
      <c r="F99" s="96">
        <f>4%*D99</f>
        <v>18.472000000000001</v>
      </c>
      <c r="G99" s="97">
        <f>48%*D99</f>
        <v>221.66399999999999</v>
      </c>
      <c r="H99" s="96">
        <f t="shared" si="30"/>
        <v>240.136</v>
      </c>
      <c r="I99" s="97">
        <v>0</v>
      </c>
      <c r="J99" s="97"/>
      <c r="K99" s="97">
        <v>0</v>
      </c>
      <c r="L99" s="97">
        <v>3</v>
      </c>
      <c r="M99" s="97">
        <f>SUM(I99:L99)</f>
        <v>3</v>
      </c>
      <c r="N99" s="35"/>
      <c r="O99" s="36"/>
      <c r="P99" s="238">
        <f t="shared" si="31"/>
        <v>797990399.99999976</v>
      </c>
      <c r="Q99" s="16"/>
    </row>
    <row r="100" spans="1:19" ht="20.25" customHeight="1" x14ac:dyDescent="0.3">
      <c r="A100" s="16"/>
      <c r="B100" s="14"/>
      <c r="C100" s="15"/>
      <c r="D100" s="26"/>
      <c r="E100" s="101" t="s">
        <v>184</v>
      </c>
      <c r="F100" s="96">
        <f>4%*D99</f>
        <v>18.472000000000001</v>
      </c>
      <c r="G100" s="96">
        <f>4%*D99</f>
        <v>18.472000000000001</v>
      </c>
      <c r="H100" s="96">
        <f>SUM(F100:G100)</f>
        <v>36.944000000000003</v>
      </c>
      <c r="I100" s="97"/>
      <c r="J100" s="97"/>
      <c r="K100" s="97"/>
      <c r="L100" s="97"/>
      <c r="M100" s="97"/>
      <c r="N100" s="35"/>
      <c r="O100" s="36"/>
      <c r="P100" s="238">
        <f t="shared" si="31"/>
        <v>66499200</v>
      </c>
      <c r="Q100" s="16"/>
    </row>
    <row r="101" spans="1:19" ht="23.25" customHeight="1" x14ac:dyDescent="0.3">
      <c r="A101" s="16"/>
      <c r="B101" s="14" t="s">
        <v>61</v>
      </c>
      <c r="C101" s="15" t="s">
        <v>44</v>
      </c>
      <c r="D101" s="26">
        <v>84.65</v>
      </c>
      <c r="E101" s="101" t="s">
        <v>203</v>
      </c>
      <c r="F101" s="26">
        <f>10%*D101</f>
        <v>8.4650000000000016</v>
      </c>
      <c r="G101" s="220">
        <f>39%*D101</f>
        <v>33.013500000000001</v>
      </c>
      <c r="H101" s="26">
        <f t="shared" si="30"/>
        <v>41.478500000000004</v>
      </c>
      <c r="I101" s="19">
        <v>0</v>
      </c>
      <c r="J101" s="19"/>
      <c r="K101" s="19"/>
      <c r="L101" s="19">
        <v>2</v>
      </c>
      <c r="M101" s="19">
        <f t="shared" ref="M101" si="32">SUM(I101:L101)</f>
        <v>2</v>
      </c>
      <c r="N101" s="35"/>
      <c r="O101" s="36"/>
      <c r="P101" s="238">
        <f t="shared" si="31"/>
        <v>118848600</v>
      </c>
      <c r="Q101" s="16"/>
    </row>
    <row r="102" spans="1:19" ht="18.75" customHeight="1" x14ac:dyDescent="0.3">
      <c r="A102" s="75"/>
      <c r="B102" s="72" t="s">
        <v>350</v>
      </c>
      <c r="C102" s="72"/>
      <c r="D102" s="73">
        <f>SUM(D88:D101)</f>
        <v>1613.8300000000002</v>
      </c>
      <c r="E102" s="74"/>
      <c r="F102" s="73">
        <f>SUM(F80:F101)</f>
        <v>173.14060000000001</v>
      </c>
      <c r="G102" s="83">
        <f>SUM(G80:G101)</f>
        <v>668.15350000000001</v>
      </c>
      <c r="H102" s="73">
        <f>SUM(H80:H101)</f>
        <v>841.29409999999996</v>
      </c>
      <c r="I102" s="83">
        <f>SUM(I88:I101)</f>
        <v>0</v>
      </c>
      <c r="J102" s="83">
        <f>SUM(J88:J101)</f>
        <v>0</v>
      </c>
      <c r="K102" s="83">
        <f>SUM(K88:K101)</f>
        <v>0</v>
      </c>
      <c r="L102" s="83">
        <f>SUM(L88:L101)</f>
        <v>42</v>
      </c>
      <c r="M102" s="83">
        <f>SUM(M86:M101)</f>
        <v>47</v>
      </c>
      <c r="N102" s="76"/>
      <c r="O102" s="77"/>
      <c r="P102" s="184">
        <f>SUM(P93:P101)</f>
        <v>2107994399.9999998</v>
      </c>
      <c r="Q102" s="75"/>
    </row>
    <row r="103" spans="1:19" ht="4.5" customHeight="1" x14ac:dyDescent="0.3">
      <c r="F103" s="2"/>
      <c r="G103" s="2"/>
      <c r="H103" s="2"/>
      <c r="I103" s="2"/>
      <c r="J103" s="2"/>
      <c r="K103" s="2"/>
      <c r="L103" s="2"/>
      <c r="M103" s="2"/>
    </row>
    <row r="104" spans="1:19" ht="16.5" customHeight="1" x14ac:dyDescent="0.3">
      <c r="F104" s="2"/>
      <c r="G104" s="2"/>
      <c r="H104" s="2"/>
      <c r="I104" s="2"/>
      <c r="J104" s="2" t="s">
        <v>656</v>
      </c>
      <c r="K104" s="2"/>
      <c r="L104" s="2"/>
      <c r="M104" s="2"/>
    </row>
    <row r="105" spans="1:19" ht="12" customHeight="1" x14ac:dyDescent="0.3">
      <c r="A105" s="395" t="s">
        <v>80</v>
      </c>
      <c r="B105" s="395"/>
      <c r="C105" s="395"/>
      <c r="D105" s="395"/>
    </row>
    <row r="106" spans="1:19" x14ac:dyDescent="0.3">
      <c r="A106" s="395" t="s">
        <v>81</v>
      </c>
      <c r="B106" s="395"/>
      <c r="C106" s="395"/>
      <c r="D106" s="395"/>
      <c r="J106" s="1" t="s">
        <v>85</v>
      </c>
    </row>
    <row r="107" spans="1:19" x14ac:dyDescent="0.3">
      <c r="A107" s="395" t="s">
        <v>82</v>
      </c>
      <c r="B107" s="395"/>
      <c r="C107" s="395"/>
      <c r="D107" s="395"/>
      <c r="J107" s="3" t="s">
        <v>86</v>
      </c>
      <c r="K107" s="1" t="s">
        <v>175</v>
      </c>
      <c r="O107" s="1" t="s">
        <v>90</v>
      </c>
    </row>
    <row r="108" spans="1:19" x14ac:dyDescent="0.3">
      <c r="A108" s="395" t="s">
        <v>83</v>
      </c>
      <c r="B108" s="395"/>
      <c r="C108" s="395"/>
      <c r="D108" s="395"/>
      <c r="K108" s="1" t="s">
        <v>651</v>
      </c>
    </row>
    <row r="109" spans="1:19" ht="9.75" customHeight="1" x14ac:dyDescent="0.3"/>
    <row r="110" spans="1:19" ht="14.25" customHeight="1" x14ac:dyDescent="0.3">
      <c r="J110" s="3" t="s">
        <v>88</v>
      </c>
      <c r="K110" s="1" t="s">
        <v>87</v>
      </c>
      <c r="O110" s="1" t="s">
        <v>90</v>
      </c>
    </row>
    <row r="111" spans="1:19" x14ac:dyDescent="0.3">
      <c r="K111" s="1" t="s">
        <v>91</v>
      </c>
    </row>
    <row r="112" spans="1:19" ht="13.5" customHeight="1" x14ac:dyDescent="0.3">
      <c r="A112" s="398" t="s">
        <v>175</v>
      </c>
      <c r="B112" s="398"/>
      <c r="C112" s="398"/>
      <c r="D112" s="398"/>
    </row>
    <row r="113" spans="1:15" x14ac:dyDescent="0.3">
      <c r="A113" s="395" t="s">
        <v>190</v>
      </c>
      <c r="B113" s="395"/>
      <c r="C113" s="395"/>
      <c r="D113" s="395"/>
      <c r="J113" s="1" t="s">
        <v>254</v>
      </c>
      <c r="K113" s="1" t="s">
        <v>89</v>
      </c>
      <c r="O113" s="1" t="s">
        <v>90</v>
      </c>
    </row>
    <row r="114" spans="1:15" x14ac:dyDescent="0.3">
      <c r="K114" s="1" t="s">
        <v>92</v>
      </c>
    </row>
    <row r="115" spans="1:15" ht="8.25" customHeight="1" x14ac:dyDescent="0.3"/>
    <row r="116" spans="1:15" x14ac:dyDescent="0.3">
      <c r="J116" s="241" t="s">
        <v>265</v>
      </c>
      <c r="K116" s="1" t="s">
        <v>652</v>
      </c>
      <c r="O116" s="1" t="s">
        <v>90</v>
      </c>
    </row>
    <row r="117" spans="1:15" ht="14.25" customHeight="1" x14ac:dyDescent="0.3">
      <c r="J117" s="241"/>
      <c r="K117" s="1" t="s">
        <v>658</v>
      </c>
    </row>
    <row r="118" spans="1:15" ht="5.25" customHeight="1" x14ac:dyDescent="0.3">
      <c r="J118" s="241"/>
    </row>
    <row r="119" spans="1:15" x14ac:dyDescent="0.3">
      <c r="J119" s="241" t="s">
        <v>650</v>
      </c>
      <c r="K119" s="1" t="s">
        <v>255</v>
      </c>
      <c r="O119" s="1" t="s">
        <v>90</v>
      </c>
    </row>
    <row r="120" spans="1:15" x14ac:dyDescent="0.3">
      <c r="K120" s="1" t="s">
        <v>654</v>
      </c>
    </row>
  </sheetData>
  <mergeCells count="24">
    <mergeCell ref="O32:O38"/>
    <mergeCell ref="A1:Q1"/>
    <mergeCell ref="A2:Q2"/>
    <mergeCell ref="A6:A7"/>
    <mergeCell ref="B6:C6"/>
    <mergeCell ref="D6:D7"/>
    <mergeCell ref="E6:E7"/>
    <mergeCell ref="F6:H6"/>
    <mergeCell ref="I6:M6"/>
    <mergeCell ref="N6:O7"/>
    <mergeCell ref="P6:P7"/>
    <mergeCell ref="Q6:Q7"/>
    <mergeCell ref="B7:C7"/>
    <mergeCell ref="B24:C24"/>
    <mergeCell ref="O26:O29"/>
    <mergeCell ref="B30:C30"/>
    <mergeCell ref="A112:D112"/>
    <mergeCell ref="A113:D113"/>
    <mergeCell ref="O40:O52"/>
    <mergeCell ref="O54:O59"/>
    <mergeCell ref="A105:D105"/>
    <mergeCell ref="A106:D106"/>
    <mergeCell ref="A107:D107"/>
    <mergeCell ref="A108:D108"/>
  </mergeCells>
  <pageMargins left="0.36" right="0.70866141732283472" top="0.74803149606299213" bottom="0.74803149606299213" header="0.31496062992125984" footer="0.31496062992125984"/>
  <pageSetup paperSize="5" scale="90" orientation="landscape" horizontalDpi="4294967293"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T120"/>
  <sheetViews>
    <sheetView view="pageBreakPreview" zoomScale="96" zoomScaleNormal="100" zoomScaleSheetLayoutView="96" workbookViewId="0">
      <selection activeCell="F113" sqref="F113"/>
    </sheetView>
  </sheetViews>
  <sheetFormatPr defaultColWidth="9.1796875" defaultRowHeight="14" x14ac:dyDescent="0.3"/>
  <cols>
    <col min="1" max="1" width="4.81640625" style="1" customWidth="1"/>
    <col min="2" max="2" width="2.1796875" style="1" customWidth="1"/>
    <col min="3" max="3" width="16.26953125" style="1" customWidth="1"/>
    <col min="4" max="4" width="12" style="1" customWidth="1"/>
    <col min="5" max="5" width="30.54296875" style="1" customWidth="1"/>
    <col min="6" max="6" width="11" style="1" bestFit="1" customWidth="1"/>
    <col min="7" max="7" width="8.81640625" style="1" customWidth="1"/>
    <col min="8" max="8" width="9" style="1" customWidth="1"/>
    <col min="9" max="9" width="6.7265625" style="1" customWidth="1"/>
    <col min="10" max="10" width="7" style="1" customWidth="1"/>
    <col min="11" max="12" width="7.54296875" style="1" customWidth="1"/>
    <col min="13" max="13" width="6.81640625" style="1" bestFit="1" customWidth="1"/>
    <col min="14" max="14" width="2" style="1" customWidth="1"/>
    <col min="15" max="15" width="17" style="1" customWidth="1"/>
    <col min="16" max="16" width="12.26953125" style="1" customWidth="1"/>
    <col min="17" max="17" width="8.81640625" style="1" customWidth="1"/>
    <col min="18" max="19" width="9.1796875" style="1"/>
    <col min="20" max="20" width="10.7265625" style="1" customWidth="1"/>
    <col min="21" max="16384" width="9.1796875" style="1"/>
  </cols>
  <sheetData>
    <row r="1" spans="1:20" x14ac:dyDescent="0.3">
      <c r="A1" s="385" t="s">
        <v>260</v>
      </c>
      <c r="B1" s="385"/>
      <c r="C1" s="385"/>
      <c r="D1" s="385"/>
      <c r="E1" s="385"/>
      <c r="F1" s="385"/>
      <c r="G1" s="385"/>
      <c r="H1" s="385"/>
      <c r="I1" s="385"/>
      <c r="J1" s="385"/>
      <c r="K1" s="385"/>
      <c r="L1" s="385"/>
      <c r="M1" s="385"/>
      <c r="N1" s="385"/>
      <c r="O1" s="385"/>
      <c r="P1" s="385"/>
      <c r="Q1" s="385"/>
    </row>
    <row r="2" spans="1:20" ht="14.25" customHeight="1" x14ac:dyDescent="0.3">
      <c r="A2" s="385" t="s">
        <v>646</v>
      </c>
      <c r="B2" s="385"/>
      <c r="C2" s="385"/>
      <c r="D2" s="385"/>
      <c r="E2" s="385"/>
      <c r="F2" s="385"/>
      <c r="G2" s="385"/>
      <c r="H2" s="385"/>
      <c r="I2" s="385"/>
      <c r="J2" s="385"/>
      <c r="K2" s="385"/>
      <c r="L2" s="385"/>
      <c r="M2" s="385"/>
      <c r="N2" s="385"/>
      <c r="O2" s="385"/>
      <c r="P2" s="385"/>
      <c r="Q2" s="385"/>
    </row>
    <row r="3" spans="1:20" ht="14.25" customHeight="1" x14ac:dyDescent="0.3">
      <c r="A3" s="1" t="s">
        <v>1</v>
      </c>
      <c r="C3" s="1" t="s">
        <v>603</v>
      </c>
    </row>
    <row r="4" spans="1:20" ht="14.25" customHeight="1" x14ac:dyDescent="0.3">
      <c r="A4" s="1" t="s">
        <v>2</v>
      </c>
      <c r="C4" s="1" t="s">
        <v>662</v>
      </c>
      <c r="D4" s="4"/>
    </row>
    <row r="5" spans="1:20" ht="6" customHeight="1" x14ac:dyDescent="0.3"/>
    <row r="6" spans="1:20" x14ac:dyDescent="0.3">
      <c r="A6" s="386" t="s">
        <v>3</v>
      </c>
      <c r="B6" s="388" t="s">
        <v>4</v>
      </c>
      <c r="C6" s="388"/>
      <c r="D6" s="391" t="s">
        <v>259</v>
      </c>
      <c r="E6" s="391" t="s">
        <v>7</v>
      </c>
      <c r="F6" s="393" t="s">
        <v>170</v>
      </c>
      <c r="G6" s="393"/>
      <c r="H6" s="393"/>
      <c r="I6" s="393" t="s">
        <v>12</v>
      </c>
      <c r="J6" s="393"/>
      <c r="K6" s="393"/>
      <c r="L6" s="393"/>
      <c r="M6" s="393"/>
      <c r="N6" s="391" t="s">
        <v>17</v>
      </c>
      <c r="O6" s="391"/>
      <c r="P6" s="391" t="s">
        <v>258</v>
      </c>
      <c r="Q6" s="386" t="s">
        <v>192</v>
      </c>
    </row>
    <row r="7" spans="1:20" ht="28.5" customHeight="1" x14ac:dyDescent="0.3">
      <c r="A7" s="387"/>
      <c r="B7" s="394" t="s">
        <v>5</v>
      </c>
      <c r="C7" s="394"/>
      <c r="D7" s="392"/>
      <c r="E7" s="392"/>
      <c r="F7" s="147" t="s">
        <v>9</v>
      </c>
      <c r="G7" s="147" t="s">
        <v>10</v>
      </c>
      <c r="H7" s="147" t="s">
        <v>11</v>
      </c>
      <c r="I7" s="147" t="s">
        <v>16</v>
      </c>
      <c r="J7" s="147" t="s">
        <v>13</v>
      </c>
      <c r="K7" s="147" t="s">
        <v>14</v>
      </c>
      <c r="L7" s="148" t="s">
        <v>257</v>
      </c>
      <c r="M7" s="147" t="s">
        <v>11</v>
      </c>
      <c r="N7" s="392"/>
      <c r="O7" s="392"/>
      <c r="P7" s="392"/>
      <c r="Q7" s="387"/>
    </row>
    <row r="8" spans="1:20" ht="9" customHeight="1" x14ac:dyDescent="0.3">
      <c r="A8" s="5"/>
      <c r="B8" s="8"/>
      <c r="C8" s="10"/>
      <c r="D8" s="5"/>
      <c r="E8" s="5"/>
      <c r="F8" s="5"/>
      <c r="G8" s="5"/>
      <c r="H8" s="5"/>
      <c r="I8" s="5"/>
      <c r="J8" s="5"/>
      <c r="K8" s="5"/>
      <c r="L8" s="5"/>
      <c r="M8" s="5"/>
      <c r="N8" s="8"/>
      <c r="O8" s="10"/>
      <c r="P8" s="10"/>
      <c r="Q8" s="5"/>
    </row>
    <row r="9" spans="1:20" ht="17.25" customHeight="1" x14ac:dyDescent="0.3">
      <c r="A9" s="13">
        <v>1</v>
      </c>
      <c r="B9" s="14" t="s">
        <v>20</v>
      </c>
      <c r="C9" s="15"/>
      <c r="D9" s="16"/>
      <c r="E9" s="47"/>
      <c r="F9" s="16"/>
      <c r="G9" s="16"/>
      <c r="H9" s="16"/>
      <c r="I9" s="16"/>
      <c r="J9" s="16"/>
      <c r="K9" s="16"/>
      <c r="L9" s="16"/>
      <c r="M9" s="16"/>
      <c r="N9" s="35"/>
      <c r="O9" s="36"/>
      <c r="P9" s="226"/>
      <c r="Q9" s="16"/>
    </row>
    <row r="10" spans="1:20" ht="28.5" customHeight="1" x14ac:dyDescent="0.3">
      <c r="A10" s="13"/>
      <c r="B10" s="17" t="s">
        <v>57</v>
      </c>
      <c r="C10" s="15" t="s">
        <v>21</v>
      </c>
      <c r="D10" s="18">
        <v>430.06</v>
      </c>
      <c r="E10" s="49" t="s">
        <v>649</v>
      </c>
      <c r="F10" s="26">
        <f>3%*D10</f>
        <v>12.9018</v>
      </c>
      <c r="G10" s="26">
        <f>0.7%*D10</f>
        <v>3.0104199999999999</v>
      </c>
      <c r="H10" s="26">
        <f>SUM(F10:G10)</f>
        <v>15.91222</v>
      </c>
      <c r="I10" s="19">
        <v>0</v>
      </c>
      <c r="J10" s="19"/>
      <c r="K10" s="19"/>
      <c r="L10" s="19">
        <v>5</v>
      </c>
      <c r="M10" s="20">
        <f>SUM(I10:L10)</f>
        <v>5</v>
      </c>
      <c r="N10" s="37"/>
      <c r="O10" s="36"/>
      <c r="P10" s="227">
        <f t="shared" ref="P10:P23" si="0">G10*0.261*12%*0</f>
        <v>0</v>
      </c>
      <c r="Q10" s="16"/>
      <c r="S10" s="1" t="s">
        <v>333</v>
      </c>
      <c r="T10" s="1" t="s">
        <v>341</v>
      </c>
    </row>
    <row r="11" spans="1:20" ht="18.75" customHeight="1" x14ac:dyDescent="0.3">
      <c r="A11" s="13"/>
      <c r="B11" s="14"/>
      <c r="C11" s="15"/>
      <c r="D11" s="18"/>
      <c r="E11" s="47" t="s">
        <v>37</v>
      </c>
      <c r="F11" s="26">
        <f>3%*D10</f>
        <v>12.9018</v>
      </c>
      <c r="G11" s="26">
        <f>0.4%*D10</f>
        <v>1.72024</v>
      </c>
      <c r="H11" s="26">
        <f>SUM(F11:G11)</f>
        <v>14.62204</v>
      </c>
      <c r="I11" s="19">
        <v>0</v>
      </c>
      <c r="J11" s="19"/>
      <c r="K11" s="19"/>
      <c r="L11" s="19">
        <v>6</v>
      </c>
      <c r="M11" s="20">
        <f t="shared" ref="M11:M23" si="1">SUM(I11:L11)</f>
        <v>6</v>
      </c>
      <c r="N11" s="37" t="s">
        <v>51</v>
      </c>
      <c r="O11" s="38" t="s">
        <v>50</v>
      </c>
      <c r="P11" s="227">
        <f t="shared" si="0"/>
        <v>0</v>
      </c>
      <c r="Q11" s="16"/>
    </row>
    <row r="12" spans="1:20" ht="18.75" customHeight="1" x14ac:dyDescent="0.3">
      <c r="A12" s="13"/>
      <c r="B12" s="14"/>
      <c r="C12" s="15"/>
      <c r="D12" s="18"/>
      <c r="E12" s="47" t="s">
        <v>38</v>
      </c>
      <c r="F12" s="26">
        <f>2%*D10</f>
        <v>8.6012000000000004</v>
      </c>
      <c r="G12" s="26">
        <f>3%*D10</f>
        <v>12.9018</v>
      </c>
      <c r="H12" s="26">
        <f>SUM(F12:G12)</f>
        <v>21.503</v>
      </c>
      <c r="I12" s="19">
        <v>0</v>
      </c>
      <c r="J12" s="19"/>
      <c r="K12" s="19"/>
      <c r="L12" s="19">
        <v>7</v>
      </c>
      <c r="M12" s="20">
        <f t="shared" si="1"/>
        <v>7</v>
      </c>
      <c r="N12" s="37" t="s">
        <v>51</v>
      </c>
      <c r="O12" s="36" t="s">
        <v>632</v>
      </c>
      <c r="P12" s="227">
        <f t="shared" si="0"/>
        <v>0</v>
      </c>
      <c r="Q12" s="16"/>
      <c r="S12" s="1" t="s">
        <v>343</v>
      </c>
    </row>
    <row r="13" spans="1:20" ht="26.25" customHeight="1" x14ac:dyDescent="0.3">
      <c r="A13" s="13"/>
      <c r="B13" s="14"/>
      <c r="C13" s="15"/>
      <c r="D13" s="18"/>
      <c r="E13" s="48" t="s">
        <v>39</v>
      </c>
      <c r="F13" s="96">
        <f>15%*D10</f>
        <v>64.509</v>
      </c>
      <c r="G13" s="96">
        <f>6%*D10</f>
        <v>25.803599999999999</v>
      </c>
      <c r="H13" s="96">
        <f>SUM(F13:G13)</f>
        <v>90.312600000000003</v>
      </c>
      <c r="I13" s="97">
        <v>0</v>
      </c>
      <c r="J13" s="97">
        <v>0</v>
      </c>
      <c r="K13" s="97">
        <v>0</v>
      </c>
      <c r="L13" s="97">
        <v>3</v>
      </c>
      <c r="M13" s="121">
        <f t="shared" si="1"/>
        <v>3</v>
      </c>
      <c r="N13" s="39" t="s">
        <v>51</v>
      </c>
      <c r="O13" s="40" t="s">
        <v>48</v>
      </c>
      <c r="P13" s="227">
        <f t="shared" si="0"/>
        <v>0</v>
      </c>
      <c r="Q13" s="16"/>
      <c r="S13" s="1" t="s">
        <v>342</v>
      </c>
    </row>
    <row r="14" spans="1:20" ht="18.75" customHeight="1" x14ac:dyDescent="0.3">
      <c r="A14" s="13"/>
      <c r="B14" s="17" t="s">
        <v>58</v>
      </c>
      <c r="C14" s="15" t="s">
        <v>22</v>
      </c>
      <c r="D14" s="18">
        <v>856.82</v>
      </c>
      <c r="E14" s="47" t="s">
        <v>36</v>
      </c>
      <c r="F14" s="26">
        <f>3%*D14</f>
        <v>25.704599999999999</v>
      </c>
      <c r="G14" s="26">
        <f>6%*D14</f>
        <v>51.409199999999998</v>
      </c>
      <c r="H14" s="26">
        <f>SUM(F14:G14)</f>
        <v>77.113799999999998</v>
      </c>
      <c r="I14" s="19">
        <v>0</v>
      </c>
      <c r="J14" s="19"/>
      <c r="K14" s="19"/>
      <c r="L14" s="19">
        <v>6</v>
      </c>
      <c r="M14" s="20">
        <f t="shared" si="1"/>
        <v>6</v>
      </c>
      <c r="N14" s="35" t="s">
        <v>51</v>
      </c>
      <c r="O14" s="41" t="s">
        <v>137</v>
      </c>
      <c r="P14" s="227">
        <f t="shared" si="0"/>
        <v>0</v>
      </c>
      <c r="Q14" s="16"/>
    </row>
    <row r="15" spans="1:20" ht="18.75" customHeight="1" x14ac:dyDescent="0.3">
      <c r="A15" s="13"/>
      <c r="B15" s="14"/>
      <c r="C15" s="15"/>
      <c r="D15" s="26"/>
      <c r="E15" s="47" t="s">
        <v>37</v>
      </c>
      <c r="F15" s="26">
        <f>3%*D14</f>
        <v>25.704599999999999</v>
      </c>
      <c r="G15" s="26">
        <f>4%*D14</f>
        <v>34.272800000000004</v>
      </c>
      <c r="H15" s="26">
        <f t="shared" ref="H15:H17" si="2">SUM(F15:G15)</f>
        <v>59.977400000000003</v>
      </c>
      <c r="I15" s="19">
        <v>0</v>
      </c>
      <c r="J15" s="19"/>
      <c r="K15" s="19">
        <v>5</v>
      </c>
      <c r="L15" s="19">
        <v>6</v>
      </c>
      <c r="M15" s="20">
        <f t="shared" si="1"/>
        <v>11</v>
      </c>
      <c r="N15" s="35"/>
      <c r="O15" s="36"/>
      <c r="P15" s="227">
        <f t="shared" si="0"/>
        <v>0</v>
      </c>
      <c r="Q15" s="16"/>
      <c r="S15" s="1" t="s">
        <v>344</v>
      </c>
    </row>
    <row r="16" spans="1:20" ht="18.75" customHeight="1" x14ac:dyDescent="0.3">
      <c r="A16" s="13"/>
      <c r="B16" s="14"/>
      <c r="C16" s="15"/>
      <c r="D16" s="26"/>
      <c r="E16" s="47" t="s">
        <v>38</v>
      </c>
      <c r="F16" s="26">
        <f>2%*D14</f>
        <v>17.136400000000002</v>
      </c>
      <c r="G16" s="26">
        <f>4%*D14</f>
        <v>34.272800000000004</v>
      </c>
      <c r="H16" s="26">
        <f t="shared" si="2"/>
        <v>51.409200000000006</v>
      </c>
      <c r="I16" s="19">
        <v>0</v>
      </c>
      <c r="J16" s="19"/>
      <c r="K16" s="19"/>
      <c r="L16" s="19">
        <v>6</v>
      </c>
      <c r="M16" s="20">
        <f t="shared" si="1"/>
        <v>6</v>
      </c>
      <c r="N16" s="35"/>
      <c r="O16" s="36"/>
      <c r="P16" s="227">
        <f t="shared" si="0"/>
        <v>0</v>
      </c>
      <c r="Q16" s="16"/>
      <c r="S16" s="1" t="s">
        <v>345</v>
      </c>
    </row>
    <row r="17" spans="1:20" ht="21" customHeight="1" x14ac:dyDescent="0.3">
      <c r="A17" s="54"/>
      <c r="B17" s="55"/>
      <c r="C17" s="56"/>
      <c r="D17" s="57"/>
      <c r="E17" s="58" t="s">
        <v>39</v>
      </c>
      <c r="F17" s="119">
        <f>3%*D14</f>
        <v>25.704599999999999</v>
      </c>
      <c r="G17" s="119">
        <f>4%*D14</f>
        <v>34.272800000000004</v>
      </c>
      <c r="H17" s="119">
        <f t="shared" si="2"/>
        <v>59.977400000000003</v>
      </c>
      <c r="I17" s="59">
        <v>0</v>
      </c>
      <c r="J17" s="59">
        <v>0</v>
      </c>
      <c r="K17" s="59">
        <v>0</v>
      </c>
      <c r="L17" s="59">
        <v>2</v>
      </c>
      <c r="M17" s="60">
        <f t="shared" si="1"/>
        <v>2</v>
      </c>
      <c r="N17" s="42"/>
      <c r="O17" s="38"/>
      <c r="P17" s="228">
        <f t="shared" si="0"/>
        <v>0</v>
      </c>
      <c r="Q17" s="29"/>
    </row>
    <row r="18" spans="1:20" ht="18.75" customHeight="1" x14ac:dyDescent="0.3">
      <c r="A18" s="54"/>
      <c r="B18" s="55" t="s">
        <v>59</v>
      </c>
      <c r="C18" s="56" t="s">
        <v>27</v>
      </c>
      <c r="D18" s="18">
        <v>113.45</v>
      </c>
      <c r="E18" s="47" t="s">
        <v>36</v>
      </c>
      <c r="F18" s="26">
        <f>25%*D18</f>
        <v>28.362500000000001</v>
      </c>
      <c r="G18" s="26">
        <f>2%*F18</f>
        <v>0.56725000000000003</v>
      </c>
      <c r="H18" s="26">
        <f>SUM(F18:G18)</f>
        <v>28.929750000000002</v>
      </c>
      <c r="I18" s="19">
        <v>0</v>
      </c>
      <c r="J18" s="19"/>
      <c r="K18" s="19"/>
      <c r="L18" s="19"/>
      <c r="M18" s="20">
        <f t="shared" si="1"/>
        <v>0</v>
      </c>
      <c r="N18" s="42"/>
      <c r="O18" s="38"/>
      <c r="P18" s="227">
        <f t="shared" si="0"/>
        <v>0</v>
      </c>
      <c r="Q18" s="29"/>
    </row>
    <row r="19" spans="1:20" ht="19.5" customHeight="1" x14ac:dyDescent="0.3">
      <c r="A19" s="54"/>
      <c r="B19" s="55"/>
      <c r="C19" s="56"/>
      <c r="D19" s="26"/>
      <c r="E19" s="47" t="s">
        <v>37</v>
      </c>
      <c r="F19" s="26">
        <f>3%*D18</f>
        <v>3.4034999999999997</v>
      </c>
      <c r="G19" s="26">
        <f>4%*D18</f>
        <v>4.5380000000000003</v>
      </c>
      <c r="H19" s="26">
        <f t="shared" ref="H19:H20" si="3">SUM(F19:G19)</f>
        <v>7.9414999999999996</v>
      </c>
      <c r="I19" s="19">
        <v>0</v>
      </c>
      <c r="J19" s="19"/>
      <c r="K19" s="19"/>
      <c r="L19" s="19">
        <v>2</v>
      </c>
      <c r="M19" s="20">
        <f t="shared" si="1"/>
        <v>2</v>
      </c>
      <c r="N19" s="42"/>
      <c r="O19" s="38"/>
      <c r="P19" s="227">
        <f t="shared" si="0"/>
        <v>0</v>
      </c>
      <c r="Q19" s="29"/>
    </row>
    <row r="20" spans="1:20" ht="17.25" customHeight="1" x14ac:dyDescent="0.3">
      <c r="A20" s="54"/>
      <c r="B20" s="55"/>
      <c r="C20" s="56"/>
      <c r="D20" s="26"/>
      <c r="E20" s="47" t="s">
        <v>38</v>
      </c>
      <c r="F20" s="26">
        <f>4%*D18</f>
        <v>4.5380000000000003</v>
      </c>
      <c r="G20" s="26">
        <f>5%*D18</f>
        <v>5.6725000000000003</v>
      </c>
      <c r="H20" s="26">
        <f t="shared" si="3"/>
        <v>10.2105</v>
      </c>
      <c r="I20" s="19">
        <v>0</v>
      </c>
      <c r="J20" s="19"/>
      <c r="K20" s="19"/>
      <c r="L20" s="19">
        <v>2</v>
      </c>
      <c r="M20" s="20">
        <f t="shared" si="1"/>
        <v>2</v>
      </c>
      <c r="N20" s="42"/>
      <c r="O20" s="38"/>
      <c r="P20" s="227">
        <f t="shared" si="0"/>
        <v>0</v>
      </c>
      <c r="Q20" s="29"/>
    </row>
    <row r="21" spans="1:20" ht="21.75" customHeight="1" x14ac:dyDescent="0.3">
      <c r="A21" s="13"/>
      <c r="B21" s="17" t="s">
        <v>60</v>
      </c>
      <c r="C21" s="15" t="s">
        <v>42</v>
      </c>
      <c r="D21" s="18">
        <v>527.28</v>
      </c>
      <c r="E21" s="47" t="s">
        <v>36</v>
      </c>
      <c r="F21" s="26">
        <f>35%*D18</f>
        <v>39.707499999999996</v>
      </c>
      <c r="G21" s="26">
        <f>5%*D21</f>
        <v>26.364000000000001</v>
      </c>
      <c r="H21" s="26">
        <f>SUM(F21:G21)</f>
        <v>66.0715</v>
      </c>
      <c r="I21" s="19">
        <v>0</v>
      </c>
      <c r="J21" s="19"/>
      <c r="K21" s="19"/>
      <c r="L21" s="19">
        <v>5</v>
      </c>
      <c r="M21" s="20">
        <f t="shared" si="1"/>
        <v>5</v>
      </c>
      <c r="N21" s="35"/>
      <c r="O21" s="36"/>
      <c r="P21" s="227">
        <f t="shared" si="0"/>
        <v>0</v>
      </c>
      <c r="Q21" s="29"/>
    </row>
    <row r="22" spans="1:20" ht="18.75" customHeight="1" x14ac:dyDescent="0.3">
      <c r="A22" s="13"/>
      <c r="B22" s="14"/>
      <c r="C22" s="15"/>
      <c r="D22" s="26"/>
      <c r="E22" s="47" t="s">
        <v>37</v>
      </c>
      <c r="F22" s="26">
        <f>30%*D21</f>
        <v>158.184</v>
      </c>
      <c r="G22" s="26">
        <f>5%*D21</f>
        <v>26.364000000000001</v>
      </c>
      <c r="H22" s="26">
        <f t="shared" ref="H22:H23" si="4">SUM(F22:G22)</f>
        <v>184.548</v>
      </c>
      <c r="I22" s="19">
        <v>0</v>
      </c>
      <c r="J22" s="19"/>
      <c r="K22" s="19"/>
      <c r="L22" s="19">
        <v>5</v>
      </c>
      <c r="M22" s="20">
        <f t="shared" si="1"/>
        <v>5</v>
      </c>
      <c r="N22" s="35"/>
      <c r="O22" s="36"/>
      <c r="P22" s="227">
        <f t="shared" si="0"/>
        <v>0</v>
      </c>
      <c r="Q22" s="29"/>
    </row>
    <row r="23" spans="1:20" ht="18" customHeight="1" x14ac:dyDescent="0.3">
      <c r="A23" s="13"/>
      <c r="B23" s="14"/>
      <c r="C23" s="15"/>
      <c r="D23" s="26"/>
      <c r="E23" s="47" t="s">
        <v>38</v>
      </c>
      <c r="F23" s="26">
        <f>2%*D21</f>
        <v>10.5456</v>
      </c>
      <c r="G23" s="26">
        <f>8%*D21</f>
        <v>42.182400000000001</v>
      </c>
      <c r="H23" s="26">
        <f t="shared" si="4"/>
        <v>52.728000000000002</v>
      </c>
      <c r="I23" s="19">
        <v>0</v>
      </c>
      <c r="J23" s="19"/>
      <c r="K23" s="19"/>
      <c r="L23" s="19">
        <v>3</v>
      </c>
      <c r="M23" s="20">
        <f t="shared" si="1"/>
        <v>3</v>
      </c>
      <c r="N23" s="80"/>
      <c r="O23" s="81"/>
      <c r="P23" s="227">
        <f t="shared" si="0"/>
        <v>0</v>
      </c>
      <c r="Q23" s="88"/>
    </row>
    <row r="24" spans="1:20" ht="24" customHeight="1" x14ac:dyDescent="0.3">
      <c r="A24" s="89"/>
      <c r="B24" s="402" t="s">
        <v>325</v>
      </c>
      <c r="C24" s="403"/>
      <c r="D24" s="73">
        <f>SUM(D9:D17)</f>
        <v>1286.8800000000001</v>
      </c>
      <c r="E24" s="74"/>
      <c r="F24" s="118">
        <f>SUM(F9:F17)</f>
        <v>193.16400000000002</v>
      </c>
      <c r="G24" s="118">
        <f>SUM(G9:G17)</f>
        <v>197.66366000000005</v>
      </c>
      <c r="H24" s="118">
        <f>SUM(H9:H17)</f>
        <v>390.82765999999998</v>
      </c>
      <c r="I24" s="75">
        <f>SUM(I9:I17)</f>
        <v>0</v>
      </c>
      <c r="J24" s="75">
        <f>SUM(J9:J17)</f>
        <v>0</v>
      </c>
      <c r="K24" s="75">
        <f>SUM(K8:K23)</f>
        <v>5</v>
      </c>
      <c r="L24" s="160">
        <f>SUM(L10:L23)</f>
        <v>58</v>
      </c>
      <c r="M24" s="75">
        <f>SUM(M9:M17)</f>
        <v>46</v>
      </c>
      <c r="N24" s="76"/>
      <c r="O24" s="77"/>
      <c r="P24" s="229">
        <f>SUM(P10:P23)</f>
        <v>0</v>
      </c>
      <c r="Q24" s="75"/>
    </row>
    <row r="25" spans="1:20" ht="17.25" customHeight="1" x14ac:dyDescent="0.3">
      <c r="A25" s="63">
        <v>2</v>
      </c>
      <c r="B25" s="64" t="s">
        <v>23</v>
      </c>
      <c r="C25" s="65"/>
      <c r="D25" s="66"/>
      <c r="E25" s="67"/>
      <c r="F25" s="68"/>
      <c r="G25" s="68"/>
      <c r="H25" s="68"/>
      <c r="I25" s="68"/>
      <c r="J25" s="68"/>
      <c r="K25" s="68"/>
      <c r="L25" s="68"/>
      <c r="M25" s="68"/>
      <c r="N25" s="69"/>
      <c r="O25" s="70"/>
      <c r="P25" s="230"/>
      <c r="Q25" s="68"/>
      <c r="S25" s="1" t="s">
        <v>333</v>
      </c>
    </row>
    <row r="26" spans="1:20" ht="18.75" customHeight="1" x14ac:dyDescent="0.3">
      <c r="A26" s="13"/>
      <c r="B26" s="14" t="s">
        <v>57</v>
      </c>
      <c r="C26" s="15" t="s">
        <v>22</v>
      </c>
      <c r="D26" s="26">
        <v>203.28</v>
      </c>
      <c r="E26" s="47" t="s">
        <v>629</v>
      </c>
      <c r="F26" s="19">
        <f>25%*D26</f>
        <v>50.82</v>
      </c>
      <c r="G26" s="224">
        <f>2%*D26</f>
        <v>4.0655999999999999</v>
      </c>
      <c r="H26" s="19">
        <f t="shared" ref="H26" si="5">SUM(F26:G26)</f>
        <v>54.885599999999997</v>
      </c>
      <c r="I26" s="19">
        <v>0</v>
      </c>
      <c r="J26" s="19">
        <v>0</v>
      </c>
      <c r="K26" s="19">
        <v>0</v>
      </c>
      <c r="L26" s="19">
        <v>2</v>
      </c>
      <c r="M26" s="20">
        <f t="shared" ref="M26:M29" si="6">SUM(I26:L26)</f>
        <v>2</v>
      </c>
      <c r="N26" s="37" t="s">
        <v>51</v>
      </c>
      <c r="O26" s="404" t="s">
        <v>633</v>
      </c>
      <c r="P26" s="231">
        <f>G26*0.52*20%*19000000</f>
        <v>8033625.6000000006</v>
      </c>
      <c r="Q26" s="16"/>
      <c r="S26" s="1" t="s">
        <v>659</v>
      </c>
      <c r="T26" s="1" t="s">
        <v>661</v>
      </c>
    </row>
    <row r="27" spans="1:20" ht="24.75" customHeight="1" x14ac:dyDescent="0.3">
      <c r="A27" s="54"/>
      <c r="B27" s="55" t="s">
        <v>58</v>
      </c>
      <c r="C27" s="56" t="s">
        <v>42</v>
      </c>
      <c r="D27" s="57">
        <v>57</v>
      </c>
      <c r="E27" s="47" t="s">
        <v>629</v>
      </c>
      <c r="F27" s="19">
        <f>11%*D27</f>
        <v>6.2700000000000005</v>
      </c>
      <c r="G27" s="224">
        <f>3%*D26</f>
        <v>6.0983999999999998</v>
      </c>
      <c r="H27" s="19">
        <f t="shared" ref="H27" si="7">SUM(F27:G27)</f>
        <v>12.368400000000001</v>
      </c>
      <c r="I27" s="19">
        <v>0</v>
      </c>
      <c r="J27" s="19"/>
      <c r="K27" s="19">
        <v>0</v>
      </c>
      <c r="L27" s="19">
        <v>0</v>
      </c>
      <c r="M27" s="20">
        <f t="shared" si="6"/>
        <v>0</v>
      </c>
      <c r="N27" s="37"/>
      <c r="O27" s="404"/>
      <c r="P27" s="231">
        <f>G27*0.52*20%*19000000</f>
        <v>12050438.4</v>
      </c>
      <c r="Q27" s="16"/>
      <c r="S27" s="217" t="s">
        <v>660</v>
      </c>
      <c r="T27" s="1" t="s">
        <v>334</v>
      </c>
    </row>
    <row r="28" spans="1:20" ht="17.25" customHeight="1" x14ac:dyDescent="0.3">
      <c r="A28" s="54"/>
      <c r="B28" s="55"/>
      <c r="C28" s="56"/>
      <c r="D28" s="57"/>
      <c r="E28" s="85" t="s">
        <v>630</v>
      </c>
      <c r="F28" s="224">
        <f>10%*D27</f>
        <v>5.7</v>
      </c>
      <c r="G28" s="224">
        <f>3%*D27</f>
        <v>1.71</v>
      </c>
      <c r="H28" s="79">
        <f>F28+G28</f>
        <v>7.41</v>
      </c>
      <c r="I28" s="19">
        <v>0</v>
      </c>
      <c r="J28" s="19"/>
      <c r="K28" s="19"/>
      <c r="L28" s="19">
        <v>1</v>
      </c>
      <c r="M28" s="20">
        <f t="shared" si="6"/>
        <v>1</v>
      </c>
      <c r="N28" s="37"/>
      <c r="O28" s="404"/>
      <c r="P28" s="231">
        <f>G28*0.52*20%*19000000</f>
        <v>3378960</v>
      </c>
      <c r="Q28" s="16"/>
    </row>
    <row r="29" spans="1:20" ht="16.5" customHeight="1" x14ac:dyDescent="0.3">
      <c r="A29" s="54"/>
      <c r="B29" s="55" t="s">
        <v>59</v>
      </c>
      <c r="C29" s="56" t="s">
        <v>21</v>
      </c>
      <c r="D29" s="57">
        <v>72.94</v>
      </c>
      <c r="E29" s="47" t="s">
        <v>629</v>
      </c>
      <c r="F29" s="19">
        <v>7</v>
      </c>
      <c r="G29" s="224">
        <f>4%*D29</f>
        <v>2.9175999999999997</v>
      </c>
      <c r="H29" s="19">
        <f>F29+G29</f>
        <v>9.9176000000000002</v>
      </c>
      <c r="I29" s="19">
        <v>0</v>
      </c>
      <c r="J29" s="19">
        <v>0</v>
      </c>
      <c r="K29" s="19">
        <v>0</v>
      </c>
      <c r="L29" s="19">
        <v>2</v>
      </c>
      <c r="M29" s="20">
        <f t="shared" si="6"/>
        <v>2</v>
      </c>
      <c r="N29" s="95"/>
      <c r="O29" s="399"/>
      <c r="P29" s="231">
        <f>G29*0.52*20%*19000000</f>
        <v>5765177.5999999996</v>
      </c>
      <c r="Q29" s="87"/>
    </row>
    <row r="30" spans="1:20" ht="33.75" customHeight="1" x14ac:dyDescent="0.3">
      <c r="A30" s="89"/>
      <c r="B30" s="415" t="s">
        <v>326</v>
      </c>
      <c r="C30" s="416"/>
      <c r="D30" s="138">
        <f>SUM(D25:D29)</f>
        <v>333.21999999999997</v>
      </c>
      <c r="E30" s="242"/>
      <c r="F30" s="140">
        <f t="shared" ref="F30:K30" si="8">SUM(F25:F29)</f>
        <v>69.790000000000006</v>
      </c>
      <c r="G30" s="140">
        <f t="shared" si="8"/>
        <v>14.791599999999999</v>
      </c>
      <c r="H30" s="140">
        <f t="shared" si="8"/>
        <v>84.58159999999998</v>
      </c>
      <c r="I30" s="140">
        <f t="shared" si="8"/>
        <v>0</v>
      </c>
      <c r="J30" s="140">
        <f t="shared" si="8"/>
        <v>0</v>
      </c>
      <c r="K30" s="140">
        <f t="shared" si="8"/>
        <v>0</v>
      </c>
      <c r="L30" s="140">
        <f>SUM(L26:L29)</f>
        <v>5</v>
      </c>
      <c r="M30" s="140">
        <f>SUM(M25:M29)</f>
        <v>5</v>
      </c>
      <c r="N30" s="243"/>
      <c r="O30" s="244"/>
      <c r="P30" s="245">
        <f>SUM(P25:P29)</f>
        <v>29228201.600000001</v>
      </c>
      <c r="Q30" s="246"/>
    </row>
    <row r="31" spans="1:20" ht="14.25" customHeight="1" x14ac:dyDescent="0.3">
      <c r="A31" s="63">
        <v>3</v>
      </c>
      <c r="B31" s="64" t="s">
        <v>19</v>
      </c>
      <c r="C31" s="65"/>
      <c r="D31" s="66"/>
      <c r="E31" s="67"/>
      <c r="F31" s="82"/>
      <c r="G31" s="82"/>
      <c r="H31" s="82"/>
      <c r="I31" s="82"/>
      <c r="J31" s="82"/>
      <c r="K31" s="82"/>
      <c r="L31" s="82"/>
      <c r="M31" s="82"/>
      <c r="N31" s="69"/>
      <c r="O31" s="70"/>
      <c r="P31" s="233"/>
      <c r="Q31" s="68"/>
    </row>
    <row r="32" spans="1:20" ht="16.5" customHeight="1" x14ac:dyDescent="0.3">
      <c r="A32" s="13"/>
      <c r="B32" s="14" t="s">
        <v>57</v>
      </c>
      <c r="C32" s="15" t="s">
        <v>24</v>
      </c>
      <c r="D32" s="26">
        <f>1347+481.9+4</f>
        <v>1832.9</v>
      </c>
      <c r="E32" s="50" t="s">
        <v>52</v>
      </c>
      <c r="F32" s="19">
        <f>4%*D32</f>
        <v>73.316000000000003</v>
      </c>
      <c r="G32" s="26">
        <f>30%*D32</f>
        <v>549.87</v>
      </c>
      <c r="H32" s="26">
        <f>SUM(F32:G32)</f>
        <v>623.18600000000004</v>
      </c>
      <c r="I32" s="19">
        <v>0</v>
      </c>
      <c r="J32" s="19"/>
      <c r="K32" s="19"/>
      <c r="L32" s="19">
        <v>3</v>
      </c>
      <c r="M32" s="19">
        <f>SUM(I32:L32)</f>
        <v>3</v>
      </c>
      <c r="N32" s="35">
        <v>1</v>
      </c>
      <c r="O32" s="414" t="s">
        <v>642</v>
      </c>
      <c r="P32" s="234">
        <f t="shared" ref="P32:P61" si="9">G32*0.815*26%*3500000</f>
        <v>407811085.5</v>
      </c>
      <c r="Q32" s="16"/>
    </row>
    <row r="33" spans="1:17" ht="15" customHeight="1" x14ac:dyDescent="0.3">
      <c r="A33" s="13"/>
      <c r="B33" s="14"/>
      <c r="C33" s="15"/>
      <c r="D33" s="26"/>
      <c r="E33" s="47" t="s">
        <v>624</v>
      </c>
      <c r="F33" s="19">
        <f>5%*D32</f>
        <v>91.64500000000001</v>
      </c>
      <c r="G33" s="26">
        <f>8%*D32</f>
        <v>146.63200000000001</v>
      </c>
      <c r="H33" s="26">
        <f>F33+G33</f>
        <v>238.27700000000002</v>
      </c>
      <c r="I33" s="19">
        <v>0</v>
      </c>
      <c r="J33" s="19"/>
      <c r="K33" s="19">
        <v>0</v>
      </c>
      <c r="L33" s="19">
        <v>4</v>
      </c>
      <c r="M33" s="19">
        <f>SUM(I33:L33)</f>
        <v>4</v>
      </c>
      <c r="N33" s="35"/>
      <c r="O33" s="401"/>
      <c r="P33" s="234">
        <f t="shared" si="9"/>
        <v>108749622.8</v>
      </c>
      <c r="Q33" s="16"/>
    </row>
    <row r="34" spans="1:17" ht="16.5" customHeight="1" x14ac:dyDescent="0.3">
      <c r="A34" s="13"/>
      <c r="B34" s="14" t="s">
        <v>58</v>
      </c>
      <c r="C34" s="15" t="s">
        <v>25</v>
      </c>
      <c r="D34" s="26">
        <f>1378+343.2+4</f>
        <v>1725.2</v>
      </c>
      <c r="E34" s="50" t="s">
        <v>52</v>
      </c>
      <c r="F34" s="19">
        <f>3%*D34</f>
        <v>51.756</v>
      </c>
      <c r="G34" s="26">
        <f>5%*D34</f>
        <v>86.26</v>
      </c>
      <c r="H34" s="26">
        <f t="shared" ref="H34:H61" si="10">SUM(F34:G34)</f>
        <v>138.01600000000002</v>
      </c>
      <c r="I34" s="19">
        <v>0</v>
      </c>
      <c r="J34" s="19"/>
      <c r="K34" s="19">
        <v>0</v>
      </c>
      <c r="L34" s="19">
        <v>0</v>
      </c>
      <c r="M34" s="19">
        <f t="shared" ref="M34:M61" si="11">SUM(I34:L34)</f>
        <v>0</v>
      </c>
      <c r="N34" s="35"/>
      <c r="O34" s="401"/>
      <c r="P34" s="234">
        <f t="shared" si="9"/>
        <v>63974729.000000007</v>
      </c>
      <c r="Q34" s="16"/>
    </row>
    <row r="35" spans="1:17" ht="16.5" customHeight="1" x14ac:dyDescent="0.3">
      <c r="A35" s="13"/>
      <c r="B35" s="14" t="s">
        <v>59</v>
      </c>
      <c r="C35" s="15" t="s">
        <v>26</v>
      </c>
      <c r="D35" s="26">
        <f>1032+337+10</f>
        <v>1379</v>
      </c>
      <c r="E35" s="50" t="s">
        <v>52</v>
      </c>
      <c r="F35" s="19">
        <f>2%*D35</f>
        <v>27.580000000000002</v>
      </c>
      <c r="G35" s="26">
        <f>11%*D35</f>
        <v>151.69</v>
      </c>
      <c r="H35" s="26">
        <f t="shared" si="10"/>
        <v>179.27</v>
      </c>
      <c r="I35" s="19"/>
      <c r="J35" s="19"/>
      <c r="K35" s="19"/>
      <c r="L35" s="19">
        <v>4</v>
      </c>
      <c r="M35" s="19">
        <f t="shared" si="11"/>
        <v>4</v>
      </c>
      <c r="N35" s="35"/>
      <c r="O35" s="401"/>
      <c r="P35" s="234">
        <f t="shared" si="9"/>
        <v>112500888.49999999</v>
      </c>
      <c r="Q35" s="16"/>
    </row>
    <row r="36" spans="1:17" ht="16.5" customHeight="1" x14ac:dyDescent="0.3">
      <c r="A36" s="13"/>
      <c r="B36" s="14"/>
      <c r="C36" s="15"/>
      <c r="D36" s="26"/>
      <c r="E36" s="47" t="s">
        <v>624</v>
      </c>
      <c r="F36" s="19">
        <f>3%*D35</f>
        <v>41.37</v>
      </c>
      <c r="G36" s="26">
        <f>6%*D35</f>
        <v>82.74</v>
      </c>
      <c r="H36" s="26">
        <f>F36+G36</f>
        <v>124.10999999999999</v>
      </c>
      <c r="I36" s="19">
        <v>0</v>
      </c>
      <c r="J36" s="19"/>
      <c r="K36" s="19"/>
      <c r="L36" s="19">
        <v>3</v>
      </c>
      <c r="M36" s="19">
        <f>SUM(I36:L36)</f>
        <v>3</v>
      </c>
      <c r="N36" s="35"/>
      <c r="O36" s="401"/>
      <c r="P36" s="234">
        <f t="shared" si="9"/>
        <v>61364121.000000007</v>
      </c>
      <c r="Q36" s="16"/>
    </row>
    <row r="37" spans="1:17" ht="15" customHeight="1" x14ac:dyDescent="0.3">
      <c r="A37" s="13"/>
      <c r="B37" s="14" t="s">
        <v>60</v>
      </c>
      <c r="C37" s="15" t="s">
        <v>55</v>
      </c>
      <c r="D37" s="26">
        <f>312.6+146.93</f>
        <v>459.53000000000003</v>
      </c>
      <c r="E37" s="50" t="s">
        <v>52</v>
      </c>
      <c r="F37" s="19">
        <f>5%*D37</f>
        <v>22.976500000000001</v>
      </c>
      <c r="G37" s="26">
        <f>11%*D37</f>
        <v>50.548300000000005</v>
      </c>
      <c r="H37" s="26">
        <f t="shared" si="10"/>
        <v>73.524799999999999</v>
      </c>
      <c r="I37" s="19">
        <v>0</v>
      </c>
      <c r="J37" s="19">
        <v>0</v>
      </c>
      <c r="K37" s="19">
        <v>0</v>
      </c>
      <c r="L37" s="19">
        <v>0</v>
      </c>
      <c r="M37" s="19">
        <f t="shared" si="11"/>
        <v>0</v>
      </c>
      <c r="N37" s="35"/>
      <c r="O37" s="401"/>
      <c r="P37" s="234">
        <f t="shared" si="9"/>
        <v>37489146.695</v>
      </c>
      <c r="Q37" s="16"/>
    </row>
    <row r="38" spans="1:17" ht="16.5" customHeight="1" x14ac:dyDescent="0.3">
      <c r="A38" s="13"/>
      <c r="B38" s="14"/>
      <c r="C38" s="15"/>
      <c r="D38" s="26"/>
      <c r="E38" s="47" t="s">
        <v>235</v>
      </c>
      <c r="F38" s="26">
        <f>4%*D37</f>
        <v>18.381200000000003</v>
      </c>
      <c r="G38" s="26">
        <f>7%*D37</f>
        <v>32.167100000000005</v>
      </c>
      <c r="H38" s="26">
        <f>SUM(F38:G38)</f>
        <v>50.548300000000012</v>
      </c>
      <c r="I38" s="19"/>
      <c r="J38" s="19"/>
      <c r="K38" s="19"/>
      <c r="L38" s="19">
        <v>4</v>
      </c>
      <c r="M38" s="19">
        <f>SUM(I38:L38)</f>
        <v>4</v>
      </c>
      <c r="N38" s="35"/>
      <c r="O38" s="400"/>
      <c r="P38" s="234">
        <f t="shared" si="9"/>
        <v>23856729.715000004</v>
      </c>
      <c r="Q38" s="16"/>
    </row>
    <row r="39" spans="1:17" ht="15" customHeight="1" x14ac:dyDescent="0.3">
      <c r="A39" s="13"/>
      <c r="B39" s="14" t="s">
        <v>61</v>
      </c>
      <c r="C39" s="15" t="s">
        <v>27</v>
      </c>
      <c r="D39" s="26">
        <f>650.7+162.25</f>
        <v>812.95</v>
      </c>
      <c r="E39" s="50" t="s">
        <v>52</v>
      </c>
      <c r="F39" s="19">
        <f>3%*D39</f>
        <v>24.388500000000001</v>
      </c>
      <c r="G39" s="26">
        <f>26%*D39</f>
        <v>211.36700000000002</v>
      </c>
      <c r="H39" s="26">
        <f t="shared" si="10"/>
        <v>235.75550000000001</v>
      </c>
      <c r="I39" s="19">
        <v>0</v>
      </c>
      <c r="J39" s="19">
        <v>0</v>
      </c>
      <c r="K39" s="19">
        <v>0</v>
      </c>
      <c r="L39" s="19">
        <v>5</v>
      </c>
      <c r="M39" s="19">
        <f t="shared" si="11"/>
        <v>5</v>
      </c>
      <c r="N39" s="35"/>
      <c r="O39" s="36"/>
      <c r="P39" s="234">
        <f t="shared" si="9"/>
        <v>156760335.55000001</v>
      </c>
      <c r="Q39" s="16"/>
    </row>
    <row r="40" spans="1:17" ht="16.5" customHeight="1" x14ac:dyDescent="0.3">
      <c r="A40" s="13"/>
      <c r="B40" s="14" t="s">
        <v>62</v>
      </c>
      <c r="C40" s="15" t="s">
        <v>28</v>
      </c>
      <c r="D40" s="26">
        <f>876+634.6+5</f>
        <v>1515.6</v>
      </c>
      <c r="E40" s="50" t="s">
        <v>52</v>
      </c>
      <c r="F40" s="19">
        <f>3%*D40</f>
        <v>45.467999999999996</v>
      </c>
      <c r="G40" s="26">
        <f>11%*D40</f>
        <v>166.71599999999998</v>
      </c>
      <c r="H40" s="26">
        <f t="shared" si="10"/>
        <v>212.18399999999997</v>
      </c>
      <c r="I40" s="19">
        <v>0</v>
      </c>
      <c r="J40" s="19">
        <v>0</v>
      </c>
      <c r="K40" s="19"/>
      <c r="L40" s="19">
        <v>4</v>
      </c>
      <c r="M40" s="19">
        <f t="shared" si="11"/>
        <v>4</v>
      </c>
      <c r="N40" s="35">
        <v>2</v>
      </c>
      <c r="O40" s="399" t="s">
        <v>643</v>
      </c>
      <c r="P40" s="234">
        <f t="shared" si="9"/>
        <v>123644921.39999998</v>
      </c>
      <c r="Q40" s="16"/>
    </row>
    <row r="41" spans="1:17" ht="16.5" customHeight="1" x14ac:dyDescent="0.3">
      <c r="A41" s="13"/>
      <c r="B41" s="14" t="s">
        <v>63</v>
      </c>
      <c r="C41" s="15" t="s">
        <v>29</v>
      </c>
      <c r="D41" s="26">
        <f>1576+278.5</f>
        <v>1854.5</v>
      </c>
      <c r="E41" s="50" t="s">
        <v>52</v>
      </c>
      <c r="F41" s="19">
        <f>2%*D41</f>
        <v>37.090000000000003</v>
      </c>
      <c r="G41" s="26">
        <f>25%*D41</f>
        <v>463.625</v>
      </c>
      <c r="H41" s="26">
        <f t="shared" si="10"/>
        <v>500.71500000000003</v>
      </c>
      <c r="I41" s="19">
        <v>0</v>
      </c>
      <c r="J41" s="19">
        <v>0</v>
      </c>
      <c r="K41" s="19"/>
      <c r="L41" s="19">
        <v>4</v>
      </c>
      <c r="M41" s="19">
        <f t="shared" si="11"/>
        <v>4</v>
      </c>
      <c r="N41" s="35"/>
      <c r="O41" s="401"/>
      <c r="P41" s="234">
        <f t="shared" si="9"/>
        <v>343847481.24999994</v>
      </c>
      <c r="Q41" s="16"/>
    </row>
    <row r="42" spans="1:17" ht="13.5" customHeight="1" x14ac:dyDescent="0.3">
      <c r="A42" s="13"/>
      <c r="B42" s="14"/>
      <c r="C42" s="15"/>
      <c r="D42" s="26"/>
      <c r="E42" s="47" t="s">
        <v>234</v>
      </c>
      <c r="F42" s="19">
        <f>2%*D41</f>
        <v>37.090000000000003</v>
      </c>
      <c r="G42" s="26">
        <f>10%*D40</f>
        <v>151.56</v>
      </c>
      <c r="H42" s="26">
        <f>F42+G42</f>
        <v>188.65</v>
      </c>
      <c r="I42" s="19"/>
      <c r="J42" s="19">
        <v>0</v>
      </c>
      <c r="K42" s="19">
        <v>0</v>
      </c>
      <c r="L42" s="19">
        <v>0</v>
      </c>
      <c r="M42" s="19">
        <f t="shared" ref="M42" si="12">SUM(I42:L42)</f>
        <v>0</v>
      </c>
      <c r="N42" s="35"/>
      <c r="O42" s="401"/>
      <c r="P42" s="234">
        <f t="shared" si="9"/>
        <v>112404474</v>
      </c>
      <c r="Q42" s="16"/>
    </row>
    <row r="43" spans="1:17" ht="16.5" customHeight="1" x14ac:dyDescent="0.3">
      <c r="A43" s="13"/>
      <c r="B43" s="14" t="s">
        <v>64</v>
      </c>
      <c r="C43" s="15" t="s">
        <v>56</v>
      </c>
      <c r="D43" s="26">
        <f>274.6+53.7+42</f>
        <v>370.3</v>
      </c>
      <c r="E43" s="50" t="s">
        <v>52</v>
      </c>
      <c r="F43" s="19">
        <f>2%*D43</f>
        <v>7.4060000000000006</v>
      </c>
      <c r="G43" s="26">
        <f>9%*D43</f>
        <v>33.326999999999998</v>
      </c>
      <c r="H43" s="26">
        <f t="shared" si="10"/>
        <v>40.732999999999997</v>
      </c>
      <c r="I43" s="19">
        <v>0</v>
      </c>
      <c r="J43" s="19"/>
      <c r="K43" s="19"/>
      <c r="L43" s="19">
        <v>0</v>
      </c>
      <c r="M43" s="19">
        <f t="shared" si="11"/>
        <v>0</v>
      </c>
      <c r="N43" s="35"/>
      <c r="O43" s="401"/>
      <c r="P43" s="234">
        <f t="shared" si="9"/>
        <v>24716969.550000001</v>
      </c>
      <c r="Q43" s="16"/>
    </row>
    <row r="44" spans="1:17" ht="18" customHeight="1" x14ac:dyDescent="0.3">
      <c r="A44" s="13"/>
      <c r="B44" s="14" t="s">
        <v>65</v>
      </c>
      <c r="C44" s="15" t="s">
        <v>30</v>
      </c>
      <c r="D44" s="26">
        <f>1500.5+566.7</f>
        <v>2067.1999999999998</v>
      </c>
      <c r="E44" s="50" t="s">
        <v>52</v>
      </c>
      <c r="F44" s="19">
        <f>1%*D44</f>
        <v>20.671999999999997</v>
      </c>
      <c r="G44" s="26">
        <f>9%*D44</f>
        <v>186.04799999999997</v>
      </c>
      <c r="H44" s="26">
        <f t="shared" si="10"/>
        <v>206.71999999999997</v>
      </c>
      <c r="I44" s="19">
        <v>0</v>
      </c>
      <c r="J44" s="19">
        <v>0</v>
      </c>
      <c r="K44" s="19">
        <v>0</v>
      </c>
      <c r="L44" s="19">
        <v>0</v>
      </c>
      <c r="M44" s="19">
        <f t="shared" si="11"/>
        <v>0</v>
      </c>
      <c r="N44" s="35"/>
      <c r="O44" s="401"/>
      <c r="P44" s="234">
        <f t="shared" si="9"/>
        <v>137982499.19999996</v>
      </c>
      <c r="Q44" s="16"/>
    </row>
    <row r="45" spans="1:17" ht="18" customHeight="1" x14ac:dyDescent="0.3">
      <c r="A45" s="13"/>
      <c r="B45" s="14"/>
      <c r="C45" s="15"/>
      <c r="D45" s="26"/>
      <c r="E45" s="47" t="s">
        <v>624</v>
      </c>
      <c r="F45" s="19">
        <f>5%*D44</f>
        <v>103.36</v>
      </c>
      <c r="G45" s="26">
        <f>10%*D44</f>
        <v>206.72</v>
      </c>
      <c r="H45" s="26">
        <f>F45+G45</f>
        <v>310.08</v>
      </c>
      <c r="I45" s="19">
        <v>0</v>
      </c>
      <c r="J45" s="19"/>
      <c r="K45" s="19"/>
      <c r="L45" s="19">
        <v>3</v>
      </c>
      <c r="M45" s="19">
        <f>SUM(I45:L45)</f>
        <v>3</v>
      </c>
      <c r="N45" s="35"/>
      <c r="O45" s="401"/>
      <c r="P45" s="234">
        <f t="shared" si="9"/>
        <v>153313888</v>
      </c>
      <c r="Q45" s="16"/>
    </row>
    <row r="46" spans="1:17" ht="18.75" customHeight="1" x14ac:dyDescent="0.3">
      <c r="A46" s="13"/>
      <c r="B46" s="14" t="s">
        <v>66</v>
      </c>
      <c r="C46" s="15" t="s">
        <v>31</v>
      </c>
      <c r="D46" s="26">
        <f>1214.5+386.5</f>
        <v>1601</v>
      </c>
      <c r="E46" s="50" t="s">
        <v>52</v>
      </c>
      <c r="F46" s="19">
        <f>2%*D46</f>
        <v>32.020000000000003</v>
      </c>
      <c r="G46" s="26">
        <f>10%*D46</f>
        <v>160.10000000000002</v>
      </c>
      <c r="H46" s="26">
        <f t="shared" si="10"/>
        <v>192.12000000000003</v>
      </c>
      <c r="I46" s="19">
        <v>0</v>
      </c>
      <c r="J46" s="19">
        <v>0</v>
      </c>
      <c r="K46" s="19">
        <v>0</v>
      </c>
      <c r="L46" s="19">
        <v>0</v>
      </c>
      <c r="M46" s="19">
        <f t="shared" si="11"/>
        <v>0</v>
      </c>
      <c r="N46" s="35"/>
      <c r="O46" s="401"/>
      <c r="P46" s="234">
        <f t="shared" si="9"/>
        <v>118738165</v>
      </c>
      <c r="Q46" s="16"/>
    </row>
    <row r="47" spans="1:17" ht="16.5" customHeight="1" x14ac:dyDescent="0.3">
      <c r="A47" s="13"/>
      <c r="B47" s="14" t="s">
        <v>67</v>
      </c>
      <c r="C47" s="15" t="s">
        <v>32</v>
      </c>
      <c r="D47" s="26">
        <f>998.9+79.5</f>
        <v>1078.4000000000001</v>
      </c>
      <c r="E47" s="50" t="s">
        <v>52</v>
      </c>
      <c r="F47" s="19">
        <f>2%*D47</f>
        <v>21.568000000000001</v>
      </c>
      <c r="G47" s="26">
        <f>10%*D47</f>
        <v>107.84000000000002</v>
      </c>
      <c r="H47" s="26">
        <f t="shared" si="10"/>
        <v>129.40800000000002</v>
      </c>
      <c r="I47" s="19">
        <v>0</v>
      </c>
      <c r="J47" s="19">
        <v>0</v>
      </c>
      <c r="K47" s="19">
        <v>0</v>
      </c>
      <c r="L47" s="19">
        <v>0</v>
      </c>
      <c r="M47" s="19">
        <f t="shared" si="11"/>
        <v>0</v>
      </c>
      <c r="N47" s="35"/>
      <c r="O47" s="401"/>
      <c r="P47" s="234">
        <f t="shared" si="9"/>
        <v>79979536.000000015</v>
      </c>
      <c r="Q47" s="16"/>
    </row>
    <row r="48" spans="1:17" ht="18.75" customHeight="1" x14ac:dyDescent="0.3">
      <c r="A48" s="13"/>
      <c r="B48" s="14" t="s">
        <v>68</v>
      </c>
      <c r="C48" s="15" t="s">
        <v>33</v>
      </c>
      <c r="D48" s="26">
        <f>1314+57.5</f>
        <v>1371.5</v>
      </c>
      <c r="E48" s="50" t="s">
        <v>52</v>
      </c>
      <c r="F48" s="19">
        <f>2%*D48</f>
        <v>27.43</v>
      </c>
      <c r="G48" s="26">
        <f>9%*D48</f>
        <v>123.435</v>
      </c>
      <c r="H48" s="26">
        <f t="shared" si="10"/>
        <v>150.86500000000001</v>
      </c>
      <c r="I48" s="19">
        <v>0</v>
      </c>
      <c r="J48" s="19"/>
      <c r="K48" s="19">
        <v>0</v>
      </c>
      <c r="L48" s="19">
        <v>0</v>
      </c>
      <c r="M48" s="19">
        <f t="shared" si="11"/>
        <v>0</v>
      </c>
      <c r="N48" s="35"/>
      <c r="O48" s="401"/>
      <c r="P48" s="234">
        <f t="shared" si="9"/>
        <v>91545567.75</v>
      </c>
      <c r="Q48" s="16"/>
    </row>
    <row r="49" spans="1:17" ht="16.5" customHeight="1" x14ac:dyDescent="0.3">
      <c r="A49" s="13"/>
      <c r="B49" s="14" t="s">
        <v>69</v>
      </c>
      <c r="C49" s="15" t="s">
        <v>34</v>
      </c>
      <c r="D49" s="26">
        <f>1892.1+376</f>
        <v>2268.1</v>
      </c>
      <c r="E49" s="50" t="s">
        <v>52</v>
      </c>
      <c r="F49" s="19">
        <f>0.5%*D49</f>
        <v>11.3405</v>
      </c>
      <c r="G49" s="26">
        <f>20%*D49</f>
        <v>453.62</v>
      </c>
      <c r="H49" s="26">
        <f t="shared" si="10"/>
        <v>464.96050000000002</v>
      </c>
      <c r="I49" s="19">
        <v>0</v>
      </c>
      <c r="J49" s="19"/>
      <c r="K49" s="19"/>
      <c r="L49" s="19">
        <v>5</v>
      </c>
      <c r="M49" s="19">
        <f t="shared" si="11"/>
        <v>5</v>
      </c>
      <c r="N49" s="35"/>
      <c r="O49" s="401"/>
      <c r="P49" s="234">
        <f t="shared" si="9"/>
        <v>336427273</v>
      </c>
      <c r="Q49" s="16"/>
    </row>
    <row r="50" spans="1:17" ht="16.5" customHeight="1" x14ac:dyDescent="0.3">
      <c r="A50" s="13"/>
      <c r="B50" s="14" t="s">
        <v>70</v>
      </c>
      <c r="C50" s="15" t="s">
        <v>35</v>
      </c>
      <c r="D50" s="26">
        <f>1558+185.25</f>
        <v>1743.25</v>
      </c>
      <c r="E50" s="50" t="s">
        <v>52</v>
      </c>
      <c r="F50" s="19">
        <f t="shared" ref="F50:F55" si="13">1%*D50</f>
        <v>17.432500000000001</v>
      </c>
      <c r="G50" s="26">
        <f>9%*D50</f>
        <v>156.89249999999998</v>
      </c>
      <c r="H50" s="26">
        <f t="shared" si="10"/>
        <v>174.32499999999999</v>
      </c>
      <c r="I50" s="19">
        <v>0</v>
      </c>
      <c r="J50" s="19">
        <v>0</v>
      </c>
      <c r="K50" s="19">
        <v>0</v>
      </c>
      <c r="L50" s="19">
        <v>0</v>
      </c>
      <c r="M50" s="19">
        <f t="shared" si="11"/>
        <v>0</v>
      </c>
      <c r="N50" s="35"/>
      <c r="O50" s="401"/>
      <c r="P50" s="234">
        <f t="shared" si="9"/>
        <v>116359322.62499999</v>
      </c>
      <c r="Q50" s="16"/>
    </row>
    <row r="51" spans="1:17" ht="17.25" customHeight="1" x14ac:dyDescent="0.3">
      <c r="A51" s="13"/>
      <c r="B51" s="14" t="s">
        <v>71</v>
      </c>
      <c r="C51" s="15" t="s">
        <v>21</v>
      </c>
      <c r="D51" s="26">
        <f>1972+130</f>
        <v>2102</v>
      </c>
      <c r="E51" s="50" t="s">
        <v>52</v>
      </c>
      <c r="F51" s="19">
        <f t="shared" si="13"/>
        <v>21.02</v>
      </c>
      <c r="G51" s="26">
        <f>9%*D51</f>
        <v>189.18</v>
      </c>
      <c r="H51" s="26">
        <f t="shared" si="10"/>
        <v>210.20000000000002</v>
      </c>
      <c r="I51" s="19">
        <v>0</v>
      </c>
      <c r="J51" s="19">
        <v>0</v>
      </c>
      <c r="K51" s="19">
        <v>0</v>
      </c>
      <c r="L51" s="19">
        <v>0</v>
      </c>
      <c r="M51" s="19">
        <f t="shared" si="11"/>
        <v>0</v>
      </c>
      <c r="N51" s="35"/>
      <c r="O51" s="401"/>
      <c r="P51" s="234">
        <f t="shared" si="9"/>
        <v>140305347</v>
      </c>
      <c r="Q51" s="16"/>
    </row>
    <row r="52" spans="1:17" ht="22.5" customHeight="1" x14ac:dyDescent="0.3">
      <c r="A52" s="13"/>
      <c r="B52" s="14" t="s">
        <v>72</v>
      </c>
      <c r="C52" s="15" t="s">
        <v>42</v>
      </c>
      <c r="D52" s="26">
        <f>773.1+303.8</f>
        <v>1076.9000000000001</v>
      </c>
      <c r="E52" s="50" t="s">
        <v>52</v>
      </c>
      <c r="F52" s="19">
        <f>2%*D52</f>
        <v>21.538000000000004</v>
      </c>
      <c r="G52" s="26">
        <f>9%*D52</f>
        <v>96.921000000000006</v>
      </c>
      <c r="H52" s="26">
        <f t="shared" si="10"/>
        <v>118.459</v>
      </c>
      <c r="I52" s="19">
        <v>0</v>
      </c>
      <c r="J52" s="19">
        <v>0</v>
      </c>
      <c r="K52" s="19">
        <v>0</v>
      </c>
      <c r="L52" s="19">
        <v>3</v>
      </c>
      <c r="M52" s="19">
        <f t="shared" si="11"/>
        <v>3</v>
      </c>
      <c r="N52" s="35"/>
      <c r="O52" s="400"/>
      <c r="P52" s="234">
        <f t="shared" si="9"/>
        <v>71881459.650000006</v>
      </c>
      <c r="Q52" s="16"/>
    </row>
    <row r="53" spans="1:17" ht="16.5" customHeight="1" x14ac:dyDescent="0.3">
      <c r="A53" s="13"/>
      <c r="B53" s="14" t="s">
        <v>73</v>
      </c>
      <c r="C53" s="15" t="s">
        <v>105</v>
      </c>
      <c r="D53" s="26">
        <f>153.8+8.7</f>
        <v>162.5</v>
      </c>
      <c r="E53" s="50" t="s">
        <v>52</v>
      </c>
      <c r="F53" s="19">
        <f>2%*D53</f>
        <v>3.25</v>
      </c>
      <c r="G53" s="26">
        <f>10%*D53</f>
        <v>16.25</v>
      </c>
      <c r="H53" s="26">
        <f t="shared" si="10"/>
        <v>19.5</v>
      </c>
      <c r="I53" s="19">
        <v>0</v>
      </c>
      <c r="J53" s="19">
        <v>0</v>
      </c>
      <c r="K53" s="19">
        <v>0</v>
      </c>
      <c r="L53" s="19">
        <v>6</v>
      </c>
      <c r="M53" s="19">
        <f t="shared" si="11"/>
        <v>6</v>
      </c>
      <c r="N53" s="35"/>
      <c r="O53" s="36"/>
      <c r="P53" s="234">
        <f t="shared" si="9"/>
        <v>12051812.499999998</v>
      </c>
      <c r="Q53" s="16"/>
    </row>
    <row r="54" spans="1:17" ht="16.5" customHeight="1" x14ac:dyDescent="0.3">
      <c r="A54" s="13"/>
      <c r="B54" s="14" t="s">
        <v>74</v>
      </c>
      <c r="C54" s="15" t="s">
        <v>110</v>
      </c>
      <c r="D54" s="26">
        <f>695+48.2</f>
        <v>743.2</v>
      </c>
      <c r="E54" s="50" t="s">
        <v>52</v>
      </c>
      <c r="F54" s="19">
        <f t="shared" si="13"/>
        <v>7.4320000000000004</v>
      </c>
      <c r="G54" s="26">
        <f>10%*D54</f>
        <v>74.320000000000007</v>
      </c>
      <c r="H54" s="26">
        <f t="shared" si="10"/>
        <v>81.75200000000001</v>
      </c>
      <c r="I54" s="19">
        <v>0</v>
      </c>
      <c r="J54" s="19">
        <v>0</v>
      </c>
      <c r="K54" s="19">
        <v>0</v>
      </c>
      <c r="L54" s="19">
        <v>0</v>
      </c>
      <c r="M54" s="19">
        <f t="shared" si="11"/>
        <v>0</v>
      </c>
      <c r="N54" s="35">
        <v>3</v>
      </c>
      <c r="O54" s="399" t="s">
        <v>644</v>
      </c>
      <c r="P54" s="234">
        <f t="shared" si="9"/>
        <v>55119428.000000007</v>
      </c>
      <c r="Q54" s="16"/>
    </row>
    <row r="55" spans="1:17" ht="16.5" customHeight="1" x14ac:dyDescent="0.3">
      <c r="A55" s="13"/>
      <c r="B55" s="14" t="s">
        <v>75</v>
      </c>
      <c r="C55" s="15" t="s">
        <v>112</v>
      </c>
      <c r="D55" s="26">
        <f>375+14</f>
        <v>389</v>
      </c>
      <c r="E55" s="50" t="s">
        <v>52</v>
      </c>
      <c r="F55" s="19">
        <f t="shared" si="13"/>
        <v>3.89</v>
      </c>
      <c r="G55" s="26">
        <f>10%*D55</f>
        <v>38.900000000000006</v>
      </c>
      <c r="H55" s="26">
        <f t="shared" si="10"/>
        <v>42.790000000000006</v>
      </c>
      <c r="I55" s="19">
        <v>0</v>
      </c>
      <c r="J55" s="19">
        <v>0</v>
      </c>
      <c r="K55" s="19">
        <v>0</v>
      </c>
      <c r="L55" s="19">
        <v>0</v>
      </c>
      <c r="M55" s="19">
        <f t="shared" si="11"/>
        <v>0</v>
      </c>
      <c r="N55" s="35"/>
      <c r="O55" s="401"/>
      <c r="P55" s="234">
        <f t="shared" si="9"/>
        <v>28850185</v>
      </c>
      <c r="Q55" s="16"/>
    </row>
    <row r="56" spans="1:17" ht="16.5" customHeight="1" x14ac:dyDescent="0.3">
      <c r="A56" s="13"/>
      <c r="B56" s="14" t="s">
        <v>104</v>
      </c>
      <c r="C56" s="15" t="s">
        <v>114</v>
      </c>
      <c r="D56" s="26">
        <f>73.5</f>
        <v>73.5</v>
      </c>
      <c r="E56" s="50" t="s">
        <v>52</v>
      </c>
      <c r="F56" s="19">
        <f>3%*D56</f>
        <v>2.2050000000000001</v>
      </c>
      <c r="G56" s="26">
        <f>10%*D56</f>
        <v>7.3500000000000005</v>
      </c>
      <c r="H56" s="26">
        <f t="shared" si="10"/>
        <v>9.5549999999999997</v>
      </c>
      <c r="I56" s="19">
        <v>0</v>
      </c>
      <c r="J56" s="19">
        <v>0</v>
      </c>
      <c r="K56" s="19">
        <v>0</v>
      </c>
      <c r="L56" s="19">
        <v>0</v>
      </c>
      <c r="M56" s="19">
        <f t="shared" si="11"/>
        <v>0</v>
      </c>
      <c r="N56" s="35"/>
      <c r="O56" s="401"/>
      <c r="P56" s="234">
        <f t="shared" si="9"/>
        <v>5451127.5</v>
      </c>
      <c r="Q56" s="16"/>
    </row>
    <row r="57" spans="1:17" ht="16.5" customHeight="1" x14ac:dyDescent="0.3">
      <c r="A57" s="13"/>
      <c r="B57" s="14" t="s">
        <v>106</v>
      </c>
      <c r="C57" s="15" t="s">
        <v>22</v>
      </c>
      <c r="D57" s="26">
        <f>1184.3+105</f>
        <v>1289.3</v>
      </c>
      <c r="E57" s="50" t="s">
        <v>52</v>
      </c>
      <c r="F57" s="19">
        <f>4%*D57</f>
        <v>51.572000000000003</v>
      </c>
      <c r="G57" s="26">
        <f>8%*D57</f>
        <v>103.14400000000001</v>
      </c>
      <c r="H57" s="26">
        <f t="shared" si="10"/>
        <v>154.71600000000001</v>
      </c>
      <c r="I57" s="19">
        <v>0</v>
      </c>
      <c r="J57" s="19">
        <v>0</v>
      </c>
      <c r="K57" s="19"/>
      <c r="L57" s="19">
        <v>0</v>
      </c>
      <c r="M57" s="19">
        <f t="shared" si="11"/>
        <v>0</v>
      </c>
      <c r="N57" s="35"/>
      <c r="O57" s="401"/>
      <c r="P57" s="234">
        <f t="shared" si="9"/>
        <v>76496747.599999994</v>
      </c>
      <c r="Q57" s="16"/>
    </row>
    <row r="58" spans="1:17" ht="14.25" customHeight="1" x14ac:dyDescent="0.3">
      <c r="A58" s="13"/>
      <c r="B58" s="14" t="s">
        <v>108</v>
      </c>
      <c r="C58" s="15" t="s">
        <v>180</v>
      </c>
      <c r="D58" s="26">
        <f>134.8+5</f>
        <v>139.80000000000001</v>
      </c>
      <c r="E58" s="47" t="s">
        <v>52</v>
      </c>
      <c r="F58" s="19">
        <f>4%*D58</f>
        <v>5.5920000000000005</v>
      </c>
      <c r="G58" s="26">
        <f>10%*D58</f>
        <v>13.980000000000002</v>
      </c>
      <c r="H58" s="26">
        <f t="shared" si="10"/>
        <v>19.572000000000003</v>
      </c>
      <c r="I58" s="19">
        <v>0</v>
      </c>
      <c r="J58" s="19">
        <v>0</v>
      </c>
      <c r="K58" s="19">
        <v>0</v>
      </c>
      <c r="L58" s="19">
        <v>5</v>
      </c>
      <c r="M58" s="19">
        <f t="shared" si="11"/>
        <v>5</v>
      </c>
      <c r="N58" s="35"/>
      <c r="O58" s="401"/>
      <c r="P58" s="234">
        <f t="shared" si="9"/>
        <v>10368267</v>
      </c>
      <c r="Q58" s="16"/>
    </row>
    <row r="59" spans="1:17" ht="16.5" customHeight="1" x14ac:dyDescent="0.3">
      <c r="A59" s="13"/>
      <c r="B59" s="14" t="s">
        <v>109</v>
      </c>
      <c r="C59" s="15" t="s">
        <v>43</v>
      </c>
      <c r="D59" s="26">
        <f>1195+218.6</f>
        <v>1413.6</v>
      </c>
      <c r="E59" s="50" t="s">
        <v>52</v>
      </c>
      <c r="F59" s="19">
        <f>3%*D59</f>
        <v>42.407999999999994</v>
      </c>
      <c r="G59" s="26">
        <f>18%*D59</f>
        <v>254.44799999999998</v>
      </c>
      <c r="H59" s="26">
        <f t="shared" si="10"/>
        <v>296.85599999999999</v>
      </c>
      <c r="I59" s="19">
        <v>0</v>
      </c>
      <c r="J59" s="19">
        <v>0</v>
      </c>
      <c r="K59" s="19">
        <v>0</v>
      </c>
      <c r="L59" s="19">
        <v>0</v>
      </c>
      <c r="M59" s="19">
        <f t="shared" si="11"/>
        <v>0</v>
      </c>
      <c r="N59" s="35"/>
      <c r="O59" s="400"/>
      <c r="P59" s="234">
        <f t="shared" si="9"/>
        <v>188711359.19999999</v>
      </c>
      <c r="Q59" s="16"/>
    </row>
    <row r="60" spans="1:17" ht="15.75" customHeight="1" x14ac:dyDescent="0.3">
      <c r="A60" s="13"/>
      <c r="B60" s="55" t="s">
        <v>111</v>
      </c>
      <c r="C60" s="56" t="s">
        <v>44</v>
      </c>
      <c r="D60" s="57">
        <f>1400.35+129.1</f>
        <v>1529.4499999999998</v>
      </c>
      <c r="E60" s="78" t="s">
        <v>52</v>
      </c>
      <c r="F60" s="19">
        <f>5%*D60</f>
        <v>76.472499999999997</v>
      </c>
      <c r="G60" s="26">
        <f>8%*D60</f>
        <v>122.35599999999999</v>
      </c>
      <c r="H60" s="26">
        <f t="shared" si="10"/>
        <v>198.82849999999999</v>
      </c>
      <c r="I60" s="19">
        <v>0</v>
      </c>
      <c r="J60" s="19">
        <v>0</v>
      </c>
      <c r="K60" s="19">
        <v>0</v>
      </c>
      <c r="L60" s="19">
        <v>6</v>
      </c>
      <c r="M60" s="19">
        <f t="shared" si="11"/>
        <v>6</v>
      </c>
      <c r="N60" s="35"/>
      <c r="O60" s="36"/>
      <c r="P60" s="234">
        <f t="shared" si="9"/>
        <v>90745327.399999991</v>
      </c>
      <c r="Q60" s="16"/>
    </row>
    <row r="61" spans="1:17" ht="16.5" customHeight="1" x14ac:dyDescent="0.3">
      <c r="A61" s="13"/>
      <c r="B61" s="14" t="s">
        <v>74</v>
      </c>
      <c r="C61" s="15" t="s">
        <v>43</v>
      </c>
      <c r="D61" s="26">
        <v>1189</v>
      </c>
      <c r="E61" s="50" t="s">
        <v>52</v>
      </c>
      <c r="F61" s="19">
        <f>1%*D61</f>
        <v>11.89</v>
      </c>
      <c r="G61" s="26">
        <f>8%*D61</f>
        <v>95.12</v>
      </c>
      <c r="H61" s="26">
        <f t="shared" si="10"/>
        <v>107.01</v>
      </c>
      <c r="I61" s="19">
        <v>0</v>
      </c>
      <c r="J61" s="19"/>
      <c r="K61" s="19"/>
      <c r="L61" s="19">
        <v>4</v>
      </c>
      <c r="M61" s="19">
        <f t="shared" si="11"/>
        <v>4</v>
      </c>
      <c r="N61" s="35"/>
      <c r="O61" s="36"/>
      <c r="P61" s="234">
        <f t="shared" si="9"/>
        <v>70545748.000000015</v>
      </c>
      <c r="Q61" s="16"/>
    </row>
    <row r="62" spans="1:17" ht="18.75" customHeight="1" x14ac:dyDescent="0.3">
      <c r="A62" s="89"/>
      <c r="B62" s="72" t="s">
        <v>347</v>
      </c>
      <c r="C62" s="72"/>
      <c r="D62" s="84">
        <f>SUM(D32:D61)</f>
        <v>30187.68</v>
      </c>
      <c r="E62" s="74"/>
      <c r="F62" s="83">
        <f>SUM(F39:F61)</f>
        <v>632.53499999999985</v>
      </c>
      <c r="G62" s="83">
        <f t="shared" ref="G62:M62" si="14">SUM(G32:G61)</f>
        <v>4533.1268999999993</v>
      </c>
      <c r="H62" s="83">
        <f t="shared" si="14"/>
        <v>5492.6866</v>
      </c>
      <c r="I62" s="83">
        <f t="shared" si="14"/>
        <v>0</v>
      </c>
      <c r="J62" s="83">
        <f t="shared" si="14"/>
        <v>0</v>
      </c>
      <c r="K62" s="83">
        <f t="shared" si="14"/>
        <v>0</v>
      </c>
      <c r="L62" s="83">
        <f t="shared" si="14"/>
        <v>63</v>
      </c>
      <c r="M62" s="83">
        <f t="shared" si="14"/>
        <v>63</v>
      </c>
      <c r="N62" s="76"/>
      <c r="O62" s="77"/>
      <c r="P62" s="184">
        <f>SUM(P32:P61)</f>
        <v>3361993565.3850002</v>
      </c>
      <c r="Q62" s="75"/>
    </row>
    <row r="63" spans="1:17" ht="13.5" customHeight="1" x14ac:dyDescent="0.3">
      <c r="A63" s="63">
        <v>4</v>
      </c>
      <c r="B63" s="64" t="s">
        <v>46</v>
      </c>
      <c r="C63" s="65"/>
      <c r="D63" s="66"/>
      <c r="E63" s="67"/>
      <c r="F63" s="82"/>
      <c r="G63" s="82"/>
      <c r="H63" s="82"/>
      <c r="I63" s="82"/>
      <c r="J63" s="82"/>
      <c r="K63" s="82"/>
      <c r="L63" s="82"/>
      <c r="M63" s="82"/>
      <c r="N63" s="69"/>
      <c r="O63" s="70"/>
      <c r="P63" s="233"/>
      <c r="Q63" s="68"/>
    </row>
    <row r="64" spans="1:17" ht="18.75" customHeight="1" x14ac:dyDescent="0.3">
      <c r="A64" s="102"/>
      <c r="B64" s="98" t="s">
        <v>57</v>
      </c>
      <c r="C64" s="99" t="s">
        <v>29</v>
      </c>
      <c r="D64" s="96">
        <v>175</v>
      </c>
      <c r="E64" s="101" t="s">
        <v>645</v>
      </c>
      <c r="F64" s="96">
        <f>4%*D64</f>
        <v>7</v>
      </c>
      <c r="G64" s="96">
        <f>2%*D64</f>
        <v>3.5</v>
      </c>
      <c r="H64" s="96">
        <f>SUM(F64:G64)</f>
        <v>10.5</v>
      </c>
      <c r="I64" s="97">
        <v>0</v>
      </c>
      <c r="J64" s="97"/>
      <c r="K64" s="97"/>
      <c r="L64" s="97">
        <v>2</v>
      </c>
      <c r="M64" s="97">
        <f t="shared" ref="M64:M72" si="15">SUM(I64:L64)</f>
        <v>2</v>
      </c>
      <c r="N64" s="35" t="s">
        <v>51</v>
      </c>
      <c r="O64" s="36" t="s">
        <v>229</v>
      </c>
      <c r="P64" s="234">
        <f>G64*1.036*20%*8000000</f>
        <v>5801600.0000000009</v>
      </c>
      <c r="Q64" s="16"/>
    </row>
    <row r="65" spans="1:20" ht="16.5" customHeight="1" x14ac:dyDescent="0.3">
      <c r="A65" s="13"/>
      <c r="B65" s="14" t="s">
        <v>58</v>
      </c>
      <c r="C65" s="15" t="s">
        <v>33</v>
      </c>
      <c r="D65" s="26">
        <v>368</v>
      </c>
      <c r="E65" s="47" t="s">
        <v>185</v>
      </c>
      <c r="F65" s="26">
        <f>4%*D65</f>
        <v>14.72</v>
      </c>
      <c r="G65" s="26">
        <f>8%*D65</f>
        <v>29.44</v>
      </c>
      <c r="H65" s="26">
        <f t="shared" ref="H65:H72" si="16">SUM(F65:G65)</f>
        <v>44.160000000000004</v>
      </c>
      <c r="I65" s="19">
        <v>0</v>
      </c>
      <c r="J65" s="19"/>
      <c r="K65" s="19">
        <v>0</v>
      </c>
      <c r="L65" s="19">
        <v>5</v>
      </c>
      <c r="M65" s="19">
        <f t="shared" si="15"/>
        <v>5</v>
      </c>
      <c r="N65" s="35" t="s">
        <v>51</v>
      </c>
      <c r="O65" s="36" t="s">
        <v>138</v>
      </c>
      <c r="P65" s="234">
        <f>G65*1.036*20%*8000000</f>
        <v>48799744.000000007</v>
      </c>
      <c r="Q65" s="16"/>
    </row>
    <row r="66" spans="1:20" ht="17.25" customHeight="1" x14ac:dyDescent="0.3">
      <c r="A66" s="13"/>
      <c r="B66" s="98" t="s">
        <v>59</v>
      </c>
      <c r="C66" s="99" t="s">
        <v>42</v>
      </c>
      <c r="D66" s="96">
        <v>774.98</v>
      </c>
      <c r="E66" s="101" t="s">
        <v>645</v>
      </c>
      <c r="F66" s="96">
        <f>4%*D66</f>
        <v>30.999200000000002</v>
      </c>
      <c r="G66" s="97">
        <f>13%*D66</f>
        <v>100.7474</v>
      </c>
      <c r="H66" s="96">
        <f t="shared" si="16"/>
        <v>131.7466</v>
      </c>
      <c r="I66" s="97">
        <v>0</v>
      </c>
      <c r="J66" s="97"/>
      <c r="K66" s="97">
        <v>0</v>
      </c>
      <c r="L66" s="97">
        <v>5</v>
      </c>
      <c r="M66" s="97">
        <f t="shared" si="15"/>
        <v>5</v>
      </c>
      <c r="N66" s="35"/>
      <c r="O66" s="36"/>
      <c r="P66" s="234">
        <f>G66*1.036*20%*8000000</f>
        <v>166998890.24000004</v>
      </c>
      <c r="Q66" s="16"/>
    </row>
    <row r="67" spans="1:20" ht="18.75" customHeight="1" x14ac:dyDescent="0.3">
      <c r="A67" s="13"/>
      <c r="B67" s="98" t="s">
        <v>60</v>
      </c>
      <c r="C67" s="99" t="s">
        <v>21</v>
      </c>
      <c r="D67" s="96">
        <v>949.55</v>
      </c>
      <c r="E67" s="101" t="s">
        <v>645</v>
      </c>
      <c r="F67" s="96">
        <f>2%*D67</f>
        <v>18.991</v>
      </c>
      <c r="G67" s="97">
        <f>3%*D67</f>
        <v>28.486499999999996</v>
      </c>
      <c r="H67" s="96">
        <f t="shared" si="16"/>
        <v>47.477499999999992</v>
      </c>
      <c r="I67" s="97">
        <v>0</v>
      </c>
      <c r="J67" s="97"/>
      <c r="K67" s="97">
        <v>0</v>
      </c>
      <c r="L67" s="97">
        <v>3</v>
      </c>
      <c r="M67" s="97">
        <f t="shared" si="15"/>
        <v>3</v>
      </c>
      <c r="N67" s="35"/>
      <c r="O67" s="36"/>
      <c r="P67" s="234">
        <f t="shared" ref="P67:P69" si="17">G67*1.036*20%*8500000</f>
        <v>50170423.799999997</v>
      </c>
      <c r="Q67" s="16"/>
      <c r="S67" s="1" t="s">
        <v>641</v>
      </c>
    </row>
    <row r="68" spans="1:20" ht="12.75" customHeight="1" x14ac:dyDescent="0.3">
      <c r="A68" s="13"/>
      <c r="B68" s="98"/>
      <c r="C68" s="99"/>
      <c r="D68" s="96"/>
      <c r="E68" s="47" t="s">
        <v>185</v>
      </c>
      <c r="F68" s="96">
        <f>1%*D67</f>
        <v>9.4954999999999998</v>
      </c>
      <c r="G68" s="96">
        <f>1%*D67</f>
        <v>9.4954999999999998</v>
      </c>
      <c r="H68" s="96">
        <f>SUM(F68:G68)</f>
        <v>18.991</v>
      </c>
      <c r="I68" s="19">
        <v>0</v>
      </c>
      <c r="J68" s="19">
        <v>0</v>
      </c>
      <c r="K68" s="19">
        <v>0</v>
      </c>
      <c r="L68" s="19">
        <v>2</v>
      </c>
      <c r="M68" s="19">
        <f t="shared" si="15"/>
        <v>2</v>
      </c>
      <c r="N68" s="35"/>
      <c r="O68" s="36"/>
      <c r="P68" s="234">
        <f t="shared" si="17"/>
        <v>16723474.600000001</v>
      </c>
      <c r="Q68" s="16"/>
    </row>
    <row r="69" spans="1:20" ht="18.75" customHeight="1" x14ac:dyDescent="0.3">
      <c r="A69" s="16"/>
      <c r="B69" s="14" t="s">
        <v>61</v>
      </c>
      <c r="C69" s="15" t="s">
        <v>22</v>
      </c>
      <c r="D69" s="26">
        <v>1223.55</v>
      </c>
      <c r="E69" s="101" t="s">
        <v>645</v>
      </c>
      <c r="F69" s="26">
        <f>2%*D69</f>
        <v>24.471</v>
      </c>
      <c r="G69" s="19">
        <f>3%*D69</f>
        <v>36.706499999999998</v>
      </c>
      <c r="H69" s="26">
        <f t="shared" si="16"/>
        <v>61.177499999999995</v>
      </c>
      <c r="I69" s="19">
        <v>0</v>
      </c>
      <c r="J69" s="19"/>
      <c r="K69" s="19"/>
      <c r="L69" s="19">
        <v>3</v>
      </c>
      <c r="M69" s="19">
        <f t="shared" si="15"/>
        <v>3</v>
      </c>
      <c r="N69" s="35"/>
      <c r="O69" s="36"/>
      <c r="P69" s="234">
        <f t="shared" si="17"/>
        <v>64647487.800000012</v>
      </c>
      <c r="Q69" s="16"/>
    </row>
    <row r="70" spans="1:20" ht="16.5" customHeight="1" x14ac:dyDescent="0.3">
      <c r="A70" s="87"/>
      <c r="B70" s="55" t="s">
        <v>62</v>
      </c>
      <c r="C70" s="56" t="s">
        <v>43</v>
      </c>
      <c r="D70" s="57">
        <v>133</v>
      </c>
      <c r="E70" s="101" t="s">
        <v>645</v>
      </c>
      <c r="F70" s="19">
        <f>6%*D70</f>
        <v>7.9799999999999995</v>
      </c>
      <c r="G70" s="19">
        <f>2%*D70</f>
        <v>2.66</v>
      </c>
      <c r="H70" s="26">
        <f t="shared" si="16"/>
        <v>10.64</v>
      </c>
      <c r="I70" s="19">
        <v>0</v>
      </c>
      <c r="J70" s="19"/>
      <c r="K70" s="19">
        <v>0</v>
      </c>
      <c r="L70" s="19">
        <v>2</v>
      </c>
      <c r="M70" s="19">
        <f t="shared" si="15"/>
        <v>2</v>
      </c>
      <c r="N70" s="35"/>
      <c r="O70" s="36"/>
      <c r="P70" s="234">
        <f>G70*1.036*20%*8000000</f>
        <v>4409216.0000000009</v>
      </c>
      <c r="Q70" s="16"/>
    </row>
    <row r="71" spans="1:20" ht="17.25" customHeight="1" x14ac:dyDescent="0.3">
      <c r="A71" s="87"/>
      <c r="B71" s="14" t="s">
        <v>63</v>
      </c>
      <c r="C71" s="15" t="s">
        <v>44</v>
      </c>
      <c r="D71" s="26">
        <v>324.64999999999998</v>
      </c>
      <c r="E71" s="101" t="s">
        <v>645</v>
      </c>
      <c r="F71" s="135">
        <f>2%*D71</f>
        <v>6.4929999999999994</v>
      </c>
      <c r="G71" s="19">
        <f>1%*D71</f>
        <v>3.2464999999999997</v>
      </c>
      <c r="H71" s="26">
        <f t="shared" si="16"/>
        <v>9.7394999999999996</v>
      </c>
      <c r="I71" s="135">
        <v>0</v>
      </c>
      <c r="J71" s="135"/>
      <c r="K71" s="135">
        <v>0</v>
      </c>
      <c r="L71" s="135">
        <v>2</v>
      </c>
      <c r="M71" s="135">
        <f t="shared" ref="M71" si="18">SUM(I71:L71)</f>
        <v>2</v>
      </c>
      <c r="N71" s="80"/>
      <c r="O71" s="81"/>
      <c r="P71" s="234">
        <f>G71*1.036*20%*8000000</f>
        <v>5381398.4000000004</v>
      </c>
      <c r="Q71" s="87"/>
    </row>
    <row r="72" spans="1:20" ht="21" customHeight="1" x14ac:dyDescent="0.3">
      <c r="A72" s="16"/>
      <c r="B72" s="14" t="s">
        <v>63</v>
      </c>
      <c r="C72" s="15" t="s">
        <v>32</v>
      </c>
      <c r="D72" s="26">
        <v>248.5</v>
      </c>
      <c r="E72" s="101" t="s">
        <v>645</v>
      </c>
      <c r="F72" s="135">
        <f>2%*D72</f>
        <v>4.97</v>
      </c>
      <c r="G72" s="19">
        <f>2%*D72</f>
        <v>4.97</v>
      </c>
      <c r="H72" s="26">
        <f t="shared" si="16"/>
        <v>9.94</v>
      </c>
      <c r="I72" s="135">
        <v>0</v>
      </c>
      <c r="J72" s="135"/>
      <c r="K72" s="135">
        <v>0</v>
      </c>
      <c r="L72" s="135">
        <v>2</v>
      </c>
      <c r="M72" s="135">
        <f t="shared" si="15"/>
        <v>2</v>
      </c>
      <c r="N72" s="80"/>
      <c r="O72" s="81"/>
      <c r="P72" s="234">
        <f>G72*1.036*20%*8000000</f>
        <v>8238272</v>
      </c>
      <c r="Q72" s="87"/>
    </row>
    <row r="73" spans="1:20" ht="16.5" customHeight="1" x14ac:dyDescent="0.3">
      <c r="A73" s="75"/>
      <c r="B73" s="72" t="s">
        <v>348</v>
      </c>
      <c r="C73" s="72"/>
      <c r="D73" s="73">
        <f>SUM(D64:D72)</f>
        <v>4197.2299999999996</v>
      </c>
      <c r="E73" s="74"/>
      <c r="F73" s="73">
        <f t="shared" ref="F73:K73" si="19">SUM(F64:F72)</f>
        <v>125.11970000000001</v>
      </c>
      <c r="G73" s="83">
        <f t="shared" si="19"/>
        <v>219.25239999999999</v>
      </c>
      <c r="H73" s="73">
        <f t="shared" si="19"/>
        <v>344.37209999999999</v>
      </c>
      <c r="I73" s="83">
        <f t="shared" si="19"/>
        <v>0</v>
      </c>
      <c r="J73" s="83">
        <f t="shared" si="19"/>
        <v>0</v>
      </c>
      <c r="K73" s="83">
        <f t="shared" si="19"/>
        <v>0</v>
      </c>
      <c r="L73" s="83">
        <f>SUM(L63:L72)</f>
        <v>26</v>
      </c>
      <c r="M73" s="83">
        <f>SUM(M64:M72)</f>
        <v>26</v>
      </c>
      <c r="N73" s="76"/>
      <c r="O73" s="77"/>
      <c r="P73" s="184">
        <f>SUM(P64:P72)</f>
        <v>371170506.84000003</v>
      </c>
      <c r="Q73" s="75"/>
    </row>
    <row r="74" spans="1:20" ht="14.25" customHeight="1" x14ac:dyDescent="0.3">
      <c r="A74" s="63">
        <v>5</v>
      </c>
      <c r="B74" s="64" t="s">
        <v>96</v>
      </c>
      <c r="C74" s="65"/>
      <c r="D74" s="66"/>
      <c r="E74" s="67"/>
      <c r="F74" s="66"/>
      <c r="G74" s="66"/>
      <c r="H74" s="66"/>
      <c r="I74" s="82"/>
      <c r="J74" s="82"/>
      <c r="K74" s="82"/>
      <c r="L74" s="82"/>
      <c r="M74" s="82"/>
      <c r="N74" s="69"/>
      <c r="O74" s="70"/>
      <c r="P74" s="233"/>
      <c r="Q74" s="68"/>
    </row>
    <row r="75" spans="1:20" ht="16.5" customHeight="1" x14ac:dyDescent="0.3">
      <c r="A75" s="16"/>
      <c r="B75" s="14" t="s">
        <v>57</v>
      </c>
      <c r="C75" s="15" t="s">
        <v>22</v>
      </c>
      <c r="D75" s="26">
        <v>13.6</v>
      </c>
      <c r="E75" s="47" t="s">
        <v>187</v>
      </c>
      <c r="F75" s="26">
        <f>55%*D75</f>
        <v>7.48</v>
      </c>
      <c r="G75" s="26">
        <f>15%*D75</f>
        <v>2.04</v>
      </c>
      <c r="H75" s="26">
        <f t="shared" ref="H75:H83" si="20">SUM(F75:G75)</f>
        <v>9.52</v>
      </c>
      <c r="I75" s="19">
        <v>0</v>
      </c>
      <c r="J75" s="19"/>
      <c r="K75" s="19"/>
      <c r="L75" s="19">
        <v>2</v>
      </c>
      <c r="M75" s="19">
        <f>SUM(I75:L75)</f>
        <v>2</v>
      </c>
      <c r="N75" s="35"/>
      <c r="O75" s="36"/>
      <c r="P75" s="234">
        <f t="shared" ref="P75:P83" si="21">G75*0.486*30%*0</f>
        <v>0</v>
      </c>
      <c r="Q75" s="16"/>
    </row>
    <row r="76" spans="1:20" ht="17.25" customHeight="1" x14ac:dyDescent="0.3">
      <c r="A76" s="16"/>
      <c r="B76" s="14" t="s">
        <v>58</v>
      </c>
      <c r="C76" s="15" t="s">
        <v>21</v>
      </c>
      <c r="D76" s="26">
        <v>24.61</v>
      </c>
      <c r="E76" s="47" t="s">
        <v>187</v>
      </c>
      <c r="F76" s="26">
        <f>20%*D76</f>
        <v>4.9220000000000006</v>
      </c>
      <c r="G76" s="26">
        <f>40%*D76</f>
        <v>9.8440000000000012</v>
      </c>
      <c r="H76" s="26">
        <f t="shared" si="20"/>
        <v>14.766000000000002</v>
      </c>
      <c r="I76" s="19">
        <v>0</v>
      </c>
      <c r="J76" s="19"/>
      <c r="K76" s="19"/>
      <c r="L76" s="19">
        <v>3</v>
      </c>
      <c r="M76" s="19">
        <f t="shared" ref="M76:M83" si="22">SUM(I76:L76)</f>
        <v>3</v>
      </c>
      <c r="N76" s="35"/>
      <c r="O76" s="36" t="s">
        <v>50</v>
      </c>
      <c r="P76" s="234">
        <f t="shared" si="21"/>
        <v>0</v>
      </c>
      <c r="Q76" s="16"/>
      <c r="S76" s="1" t="s">
        <v>636</v>
      </c>
      <c r="T76" s="1" t="s">
        <v>637</v>
      </c>
    </row>
    <row r="77" spans="1:20" ht="16.5" customHeight="1" x14ac:dyDescent="0.3">
      <c r="A77" s="16"/>
      <c r="B77" s="14"/>
      <c r="C77" s="15"/>
      <c r="D77" s="26"/>
      <c r="E77" s="47" t="s">
        <v>631</v>
      </c>
      <c r="F77" s="96">
        <f>10%*D76</f>
        <v>2.4610000000000003</v>
      </c>
      <c r="G77" s="96">
        <f>15%*D76</f>
        <v>3.6914999999999996</v>
      </c>
      <c r="H77" s="96">
        <f t="shared" si="20"/>
        <v>6.1524999999999999</v>
      </c>
      <c r="I77" s="97">
        <v>0</v>
      </c>
      <c r="J77" s="97">
        <v>0</v>
      </c>
      <c r="K77" s="97">
        <v>0</v>
      </c>
      <c r="L77" s="97">
        <v>3</v>
      </c>
      <c r="M77" s="97">
        <f t="shared" si="22"/>
        <v>3</v>
      </c>
      <c r="N77" s="35"/>
      <c r="O77" s="36"/>
      <c r="P77" s="234">
        <f t="shared" si="21"/>
        <v>0</v>
      </c>
      <c r="Q77" s="16"/>
      <c r="T77" s="1" t="s">
        <v>638</v>
      </c>
    </row>
    <row r="78" spans="1:20" ht="16.5" customHeight="1" x14ac:dyDescent="0.3">
      <c r="A78" s="16"/>
      <c r="B78" s="14" t="s">
        <v>59</v>
      </c>
      <c r="C78" s="15" t="s">
        <v>43</v>
      </c>
      <c r="D78" s="26">
        <v>22.64</v>
      </c>
      <c r="E78" s="47" t="s">
        <v>187</v>
      </c>
      <c r="F78" s="96">
        <f>10%*D78</f>
        <v>2.2640000000000002</v>
      </c>
      <c r="G78" s="26">
        <f>11%*D78</f>
        <v>2.4904000000000002</v>
      </c>
      <c r="H78" s="26">
        <f t="shared" si="20"/>
        <v>4.7544000000000004</v>
      </c>
      <c r="I78" s="19">
        <v>0</v>
      </c>
      <c r="J78" s="19"/>
      <c r="K78" s="19"/>
      <c r="L78" s="19">
        <v>2</v>
      </c>
      <c r="M78" s="19">
        <f t="shared" si="22"/>
        <v>2</v>
      </c>
      <c r="N78" s="35"/>
      <c r="O78" s="36" t="s">
        <v>137</v>
      </c>
      <c r="P78" s="234">
        <f t="shared" si="21"/>
        <v>0</v>
      </c>
      <c r="Q78" s="16"/>
    </row>
    <row r="79" spans="1:20" ht="18.75" customHeight="1" x14ac:dyDescent="0.3">
      <c r="A79" s="16"/>
      <c r="B79" s="14" t="s">
        <v>60</v>
      </c>
      <c r="C79" s="15" t="s">
        <v>44</v>
      </c>
      <c r="D79" s="26">
        <v>33</v>
      </c>
      <c r="E79" s="47" t="s">
        <v>187</v>
      </c>
      <c r="F79" s="26">
        <f>12%*D79</f>
        <v>3.96</v>
      </c>
      <c r="G79" s="26">
        <f>13%*D79</f>
        <v>4.29</v>
      </c>
      <c r="H79" s="26">
        <f t="shared" si="20"/>
        <v>8.25</v>
      </c>
      <c r="I79" s="19">
        <v>0</v>
      </c>
      <c r="J79" s="19">
        <v>0</v>
      </c>
      <c r="K79" s="19">
        <v>0</v>
      </c>
      <c r="L79" s="19">
        <v>2</v>
      </c>
      <c r="M79" s="19">
        <f t="shared" si="22"/>
        <v>2</v>
      </c>
      <c r="N79" s="35"/>
      <c r="O79" s="36" t="s">
        <v>145</v>
      </c>
      <c r="P79" s="234">
        <f t="shared" si="21"/>
        <v>0</v>
      </c>
      <c r="Q79" s="16"/>
    </row>
    <row r="80" spans="1:20" ht="18.75" customHeight="1" x14ac:dyDescent="0.3">
      <c r="A80" s="16"/>
      <c r="B80" s="14" t="s">
        <v>61</v>
      </c>
      <c r="C80" s="15" t="s">
        <v>33</v>
      </c>
      <c r="D80" s="26">
        <v>8.3000000000000007</v>
      </c>
      <c r="E80" s="47" t="s">
        <v>187</v>
      </c>
      <c r="F80" s="26">
        <f>15%*D80</f>
        <v>1.2450000000000001</v>
      </c>
      <c r="G80" s="26">
        <f>10%*D80</f>
        <v>0.83000000000000007</v>
      </c>
      <c r="H80" s="26">
        <f t="shared" si="20"/>
        <v>2.0750000000000002</v>
      </c>
      <c r="I80" s="19">
        <v>0</v>
      </c>
      <c r="J80" s="19">
        <v>0</v>
      </c>
      <c r="K80" s="19">
        <v>0</v>
      </c>
      <c r="L80" s="19"/>
      <c r="M80" s="19">
        <f t="shared" si="22"/>
        <v>0</v>
      </c>
      <c r="N80" s="35"/>
      <c r="O80" s="36" t="s">
        <v>626</v>
      </c>
      <c r="P80" s="234">
        <f t="shared" si="21"/>
        <v>0</v>
      </c>
      <c r="Q80" s="16"/>
    </row>
    <row r="81" spans="1:20" ht="19.5" customHeight="1" x14ac:dyDescent="0.3">
      <c r="A81" s="16"/>
      <c r="B81" s="14" t="s">
        <v>62</v>
      </c>
      <c r="C81" s="15" t="s">
        <v>655</v>
      </c>
      <c r="D81" s="26">
        <v>5</v>
      </c>
      <c r="E81" s="47" t="s">
        <v>187</v>
      </c>
      <c r="F81" s="26">
        <f>10%*D81</f>
        <v>0.5</v>
      </c>
      <c r="G81" s="26">
        <f>12%*D81</f>
        <v>0.6</v>
      </c>
      <c r="H81" s="26">
        <f t="shared" si="20"/>
        <v>1.1000000000000001</v>
      </c>
      <c r="I81" s="19">
        <v>0</v>
      </c>
      <c r="J81" s="19">
        <v>0</v>
      </c>
      <c r="K81" s="19">
        <v>0</v>
      </c>
      <c r="L81" s="19"/>
      <c r="M81" s="19">
        <f t="shared" si="22"/>
        <v>0</v>
      </c>
      <c r="N81" s="35"/>
      <c r="O81" s="36"/>
      <c r="P81" s="234">
        <f t="shared" si="21"/>
        <v>0</v>
      </c>
      <c r="Q81" s="16"/>
    </row>
    <row r="82" spans="1:20" ht="19.5" customHeight="1" x14ac:dyDescent="0.3">
      <c r="A82" s="16"/>
      <c r="B82" s="14">
        <v>9</v>
      </c>
      <c r="C82" s="15" t="s">
        <v>30</v>
      </c>
      <c r="D82" s="26">
        <v>11.5</v>
      </c>
      <c r="E82" s="47" t="s">
        <v>187</v>
      </c>
      <c r="F82" s="26">
        <f>14%*D82</f>
        <v>1.61</v>
      </c>
      <c r="G82" s="26">
        <f>15%*D82</f>
        <v>1.7249999999999999</v>
      </c>
      <c r="H82" s="26">
        <f t="shared" si="20"/>
        <v>3.335</v>
      </c>
      <c r="I82" s="19">
        <v>0</v>
      </c>
      <c r="J82" s="19">
        <v>0</v>
      </c>
      <c r="K82" s="19"/>
      <c r="L82" s="19">
        <v>1</v>
      </c>
      <c r="M82" s="19">
        <f t="shared" si="22"/>
        <v>1</v>
      </c>
      <c r="N82" s="35"/>
      <c r="O82" s="36"/>
      <c r="P82" s="234">
        <f t="shared" si="21"/>
        <v>0</v>
      </c>
      <c r="Q82" s="16"/>
    </row>
    <row r="83" spans="1:20" ht="17.25" customHeight="1" x14ac:dyDescent="0.3">
      <c r="A83" s="87"/>
      <c r="B83" s="55" t="s">
        <v>64</v>
      </c>
      <c r="C83" s="56" t="s">
        <v>31</v>
      </c>
      <c r="D83" s="57">
        <v>6</v>
      </c>
      <c r="E83" s="47" t="s">
        <v>187</v>
      </c>
      <c r="F83" s="26">
        <f>19%*D83</f>
        <v>1.1400000000000001</v>
      </c>
      <c r="G83" s="26">
        <f>15%*D83</f>
        <v>0.89999999999999991</v>
      </c>
      <c r="H83" s="26">
        <f t="shared" si="20"/>
        <v>2.04</v>
      </c>
      <c r="I83" s="79">
        <v>0</v>
      </c>
      <c r="J83" s="79">
        <v>0</v>
      </c>
      <c r="K83" s="79">
        <v>0</v>
      </c>
      <c r="L83" s="79">
        <v>1</v>
      </c>
      <c r="M83" s="79">
        <f t="shared" si="22"/>
        <v>1</v>
      </c>
      <c r="N83" s="80"/>
      <c r="O83" s="81"/>
      <c r="P83" s="234">
        <f t="shared" si="21"/>
        <v>0</v>
      </c>
      <c r="Q83" s="87"/>
    </row>
    <row r="84" spans="1:20" ht="15.75" customHeight="1" x14ac:dyDescent="0.3">
      <c r="A84" s="75"/>
      <c r="B84" s="72" t="s">
        <v>349</v>
      </c>
      <c r="C84" s="72"/>
      <c r="D84" s="73">
        <f>SUM(D75:D83)</f>
        <v>124.64999999999999</v>
      </c>
      <c r="E84" s="74"/>
      <c r="F84" s="73">
        <f t="shared" ref="F84:K84" si="23">SUM(F75:F83)</f>
        <v>25.582000000000004</v>
      </c>
      <c r="G84" s="73">
        <f t="shared" si="23"/>
        <v>26.410899999999998</v>
      </c>
      <c r="H84" s="73">
        <f t="shared" si="23"/>
        <v>51.992900000000006</v>
      </c>
      <c r="I84" s="83">
        <f t="shared" si="23"/>
        <v>0</v>
      </c>
      <c r="J84" s="83">
        <f t="shared" si="23"/>
        <v>0</v>
      </c>
      <c r="K84" s="83">
        <f t="shared" si="23"/>
        <v>0</v>
      </c>
      <c r="L84" s="83">
        <f>SUM(L74:L83)</f>
        <v>14</v>
      </c>
      <c r="M84" s="83">
        <f>SUM(M75:M83)</f>
        <v>14</v>
      </c>
      <c r="N84" s="76"/>
      <c r="O84" s="77"/>
      <c r="P84" s="184">
        <f>SUM(P75:P83)</f>
        <v>0</v>
      </c>
      <c r="Q84" s="75"/>
    </row>
    <row r="85" spans="1:20" ht="15.75" customHeight="1" x14ac:dyDescent="0.3">
      <c r="A85" s="103">
        <v>6</v>
      </c>
      <c r="B85" s="104" t="s">
        <v>116</v>
      </c>
      <c r="C85" s="104"/>
      <c r="D85" s="105"/>
      <c r="E85" s="106"/>
      <c r="F85" s="105"/>
      <c r="G85" s="107"/>
      <c r="H85" s="105"/>
      <c r="I85" s="107"/>
      <c r="J85" s="107"/>
      <c r="K85" s="107"/>
      <c r="L85" s="107"/>
      <c r="M85" s="107"/>
      <c r="N85" s="69"/>
      <c r="O85" s="70"/>
      <c r="P85" s="233"/>
      <c r="Q85" s="68"/>
      <c r="S85" s="1" t="s">
        <v>596</v>
      </c>
    </row>
    <row r="86" spans="1:20" ht="14.25" customHeight="1" x14ac:dyDescent="0.3">
      <c r="A86" s="27"/>
      <c r="B86" s="152" t="s">
        <v>57</v>
      </c>
      <c r="C86" s="99" t="s">
        <v>30</v>
      </c>
      <c r="D86" s="154">
        <v>54.84</v>
      </c>
      <c r="E86" s="101" t="s">
        <v>607</v>
      </c>
      <c r="F86" s="154">
        <f>8%*D86</f>
        <v>4.3872</v>
      </c>
      <c r="G86" s="155">
        <f>15%*D86</f>
        <v>8.2260000000000009</v>
      </c>
      <c r="H86" s="154">
        <f t="shared" ref="H86:H91" si="24">SUM(F86:G86)</f>
        <v>12.613200000000001</v>
      </c>
      <c r="I86" s="155">
        <v>0</v>
      </c>
      <c r="J86" s="155"/>
      <c r="K86" s="155"/>
      <c r="L86" s="155">
        <v>3</v>
      </c>
      <c r="M86" s="155">
        <f>SUM(I86:L86)</f>
        <v>3</v>
      </c>
      <c r="N86" s="156" t="s">
        <v>86</v>
      </c>
      <c r="O86" s="36" t="s">
        <v>271</v>
      </c>
      <c r="P86" s="235">
        <f t="shared" ref="P86:P91" si="25">G86*0.347*30*21000000</f>
        <v>1798285860</v>
      </c>
      <c r="Q86" s="27"/>
      <c r="S86" s="1" t="s">
        <v>597</v>
      </c>
      <c r="T86" s="1" t="s">
        <v>598</v>
      </c>
    </row>
    <row r="87" spans="1:20" ht="12.75" customHeight="1" x14ac:dyDescent="0.3">
      <c r="A87" s="27"/>
      <c r="B87" s="152"/>
      <c r="C87" s="153"/>
      <c r="D87" s="154"/>
      <c r="E87" s="101" t="s">
        <v>625</v>
      </c>
      <c r="F87" s="154">
        <f>5%*D86</f>
        <v>2.7420000000000004</v>
      </c>
      <c r="G87" s="155">
        <f>10%*D86</f>
        <v>5.4840000000000009</v>
      </c>
      <c r="H87" s="154">
        <f t="shared" ref="H87" si="26">SUM(F87:G87)</f>
        <v>8.2260000000000009</v>
      </c>
      <c r="I87" s="155">
        <v>0</v>
      </c>
      <c r="J87" s="155"/>
      <c r="K87" s="155"/>
      <c r="L87" s="155">
        <v>2</v>
      </c>
      <c r="M87" s="155">
        <f>SUM(I87:L87)</f>
        <v>2</v>
      </c>
      <c r="N87" s="156"/>
      <c r="O87" s="40"/>
      <c r="P87" s="235">
        <f t="shared" si="25"/>
        <v>1198857240</v>
      </c>
      <c r="Q87" s="27"/>
    </row>
    <row r="88" spans="1:20" ht="18" customHeight="1" x14ac:dyDescent="0.3">
      <c r="A88" s="16"/>
      <c r="B88" s="14" t="s">
        <v>58</v>
      </c>
      <c r="C88" s="15" t="s">
        <v>44</v>
      </c>
      <c r="D88" s="26">
        <v>84.65</v>
      </c>
      <c r="E88" s="47" t="s">
        <v>182</v>
      </c>
      <c r="F88" s="26">
        <f>6%*D88</f>
        <v>5.0789999999999997</v>
      </c>
      <c r="G88" s="19">
        <f>10%*D88</f>
        <v>8.4650000000000016</v>
      </c>
      <c r="H88" s="26">
        <f t="shared" si="24"/>
        <v>13.544</v>
      </c>
      <c r="I88" s="19">
        <v>0</v>
      </c>
      <c r="J88" s="19"/>
      <c r="K88" s="19"/>
      <c r="L88" s="19">
        <v>3</v>
      </c>
      <c r="M88" s="19">
        <f t="shared" ref="M88:M91" si="27">SUM(I88:L88)</f>
        <v>3</v>
      </c>
      <c r="N88" s="35"/>
      <c r="O88" s="36" t="s">
        <v>272</v>
      </c>
      <c r="P88" s="235">
        <f t="shared" si="25"/>
        <v>1850533650.0000002</v>
      </c>
      <c r="Q88" s="16"/>
      <c r="S88" s="1" t="s">
        <v>599</v>
      </c>
      <c r="T88" s="1" t="s">
        <v>600</v>
      </c>
    </row>
    <row r="89" spans="1:20" ht="21" customHeight="1" x14ac:dyDescent="0.3">
      <c r="A89" s="16"/>
      <c r="B89" s="14"/>
      <c r="C89" s="15"/>
      <c r="D89" s="26"/>
      <c r="E89" s="101" t="s">
        <v>181</v>
      </c>
      <c r="F89" s="96">
        <f>9%*D88</f>
        <v>7.6185</v>
      </c>
      <c r="G89" s="97">
        <f>5%*D88</f>
        <v>4.2325000000000008</v>
      </c>
      <c r="H89" s="96">
        <f t="shared" si="24"/>
        <v>11.851000000000001</v>
      </c>
      <c r="I89" s="97">
        <v>0</v>
      </c>
      <c r="J89" s="97"/>
      <c r="K89" s="97">
        <v>0</v>
      </c>
      <c r="L89" s="97">
        <v>4</v>
      </c>
      <c r="M89" s="97">
        <f>SUM(I89:L89)</f>
        <v>4</v>
      </c>
      <c r="N89" s="35"/>
      <c r="O89" s="159" t="s">
        <v>273</v>
      </c>
      <c r="P89" s="235">
        <f t="shared" si="25"/>
        <v>925266825.00000012</v>
      </c>
      <c r="Q89" s="16"/>
    </row>
    <row r="90" spans="1:20" ht="23.25" customHeight="1" x14ac:dyDescent="0.3">
      <c r="A90" s="16"/>
      <c r="B90" s="14" t="s">
        <v>59</v>
      </c>
      <c r="C90" s="15" t="s">
        <v>33</v>
      </c>
      <c r="D90" s="26">
        <v>14.2</v>
      </c>
      <c r="E90" s="101" t="s">
        <v>181</v>
      </c>
      <c r="F90" s="96">
        <f>11%*D90</f>
        <v>1.5619999999999998</v>
      </c>
      <c r="G90" s="240">
        <f>10%*D90</f>
        <v>1.42</v>
      </c>
      <c r="H90" s="26">
        <f t="shared" si="24"/>
        <v>2.9819999999999998</v>
      </c>
      <c r="I90" s="19">
        <v>0</v>
      </c>
      <c r="J90" s="19"/>
      <c r="K90" s="19"/>
      <c r="L90" s="19"/>
      <c r="M90" s="19">
        <f t="shared" si="27"/>
        <v>0</v>
      </c>
      <c r="N90" s="35" t="s">
        <v>88</v>
      </c>
      <c r="O90" s="36" t="s">
        <v>274</v>
      </c>
      <c r="P90" s="235">
        <f t="shared" si="25"/>
        <v>310426200</v>
      </c>
      <c r="Q90" s="16"/>
      <c r="S90" s="1" t="s">
        <v>592</v>
      </c>
    </row>
    <row r="91" spans="1:20" ht="26.25" customHeight="1" x14ac:dyDescent="0.3">
      <c r="A91" s="108"/>
      <c r="B91" s="128" t="s">
        <v>61</v>
      </c>
      <c r="C91" s="126" t="s">
        <v>35</v>
      </c>
      <c r="D91" s="127">
        <v>36.72</v>
      </c>
      <c r="E91" s="142" t="s">
        <v>183</v>
      </c>
      <c r="F91" s="127">
        <f>10%*D91</f>
        <v>3.6720000000000002</v>
      </c>
      <c r="G91" s="240">
        <f>5%*D91</f>
        <v>1.8360000000000001</v>
      </c>
      <c r="H91" s="127">
        <f t="shared" si="24"/>
        <v>5.508</v>
      </c>
      <c r="I91" s="143">
        <v>0</v>
      </c>
      <c r="J91" s="143">
        <v>0</v>
      </c>
      <c r="K91" s="143">
        <v>0</v>
      </c>
      <c r="L91" s="143">
        <v>3</v>
      </c>
      <c r="M91" s="143">
        <f t="shared" si="27"/>
        <v>3</v>
      </c>
      <c r="N91" s="157" t="s">
        <v>254</v>
      </c>
      <c r="O91" s="158" t="s">
        <v>137</v>
      </c>
      <c r="P91" s="235">
        <f t="shared" si="25"/>
        <v>401367960.00000006</v>
      </c>
      <c r="Q91" s="87"/>
      <c r="S91" s="217" t="s">
        <v>601</v>
      </c>
      <c r="T91" s="216" t="s">
        <v>602</v>
      </c>
    </row>
    <row r="92" spans="1:20" ht="20.25" customHeight="1" x14ac:dyDescent="0.3">
      <c r="A92" s="75"/>
      <c r="B92" s="136" t="s">
        <v>351</v>
      </c>
      <c r="C92" s="137"/>
      <c r="D92" s="138">
        <f>SUM(D86:D91)</f>
        <v>190.41</v>
      </c>
      <c r="E92" s="139"/>
      <c r="F92" s="138">
        <f t="shared" ref="F92:M92" si="28">SUM(F86:F91)</f>
        <v>25.060700000000004</v>
      </c>
      <c r="G92" s="140">
        <f t="shared" si="28"/>
        <v>29.663500000000006</v>
      </c>
      <c r="H92" s="138">
        <f t="shared" si="28"/>
        <v>54.724200000000003</v>
      </c>
      <c r="I92" s="140">
        <f t="shared" si="28"/>
        <v>0</v>
      </c>
      <c r="J92" s="140">
        <f t="shared" si="28"/>
        <v>0</v>
      </c>
      <c r="K92" s="140">
        <f t="shared" si="28"/>
        <v>0</v>
      </c>
      <c r="L92" s="140">
        <f t="shared" si="28"/>
        <v>15</v>
      </c>
      <c r="M92" s="140">
        <f t="shared" si="28"/>
        <v>15</v>
      </c>
      <c r="N92" s="76"/>
      <c r="O92" s="77"/>
      <c r="P92" s="237">
        <f>SUM(P86:P91)</f>
        <v>6484737735</v>
      </c>
      <c r="Q92" s="75"/>
    </row>
    <row r="93" spans="1:20" ht="13.5" customHeight="1" x14ac:dyDescent="0.3">
      <c r="A93" s="63">
        <v>7</v>
      </c>
      <c r="B93" s="8" t="s">
        <v>117</v>
      </c>
      <c r="C93" s="10"/>
      <c r="D93" s="90"/>
      <c r="E93" s="67"/>
      <c r="F93" s="66"/>
      <c r="G93" s="218"/>
      <c r="H93" s="66"/>
      <c r="I93" s="82"/>
      <c r="J93" s="82"/>
      <c r="K93" s="82"/>
      <c r="L93" s="82"/>
      <c r="M93" s="82"/>
      <c r="N93" s="69"/>
      <c r="O93" s="70"/>
      <c r="P93" s="233"/>
      <c r="Q93" s="68"/>
    </row>
    <row r="94" spans="1:20" ht="24.75" customHeight="1" x14ac:dyDescent="0.3">
      <c r="A94" s="16"/>
      <c r="B94" s="14" t="s">
        <v>57</v>
      </c>
      <c r="C94" s="15" t="s">
        <v>22</v>
      </c>
      <c r="D94" s="26">
        <v>300.95</v>
      </c>
      <c r="E94" s="101" t="s">
        <v>203</v>
      </c>
      <c r="F94" s="96">
        <f>4%*D94</f>
        <v>12.038</v>
      </c>
      <c r="G94" s="223">
        <f>40%*D94</f>
        <v>120.38</v>
      </c>
      <c r="H94" s="96">
        <f t="shared" ref="H94:H101" si="29">SUM(F94:G94)</f>
        <v>132.41800000000001</v>
      </c>
      <c r="I94" s="97">
        <v>0</v>
      </c>
      <c r="J94" s="97"/>
      <c r="K94" s="97"/>
      <c r="L94" s="97">
        <v>3</v>
      </c>
      <c r="M94" s="97">
        <f>SUM(I94:L94)</f>
        <v>3</v>
      </c>
      <c r="N94" s="35"/>
      <c r="O94" s="40" t="s">
        <v>211</v>
      </c>
      <c r="P94" s="238">
        <f t="shared" ref="P94:P101" si="30">G94*0.3*30%*40000000</f>
        <v>433367999.99999994</v>
      </c>
      <c r="Q94" s="16"/>
    </row>
    <row r="95" spans="1:20" ht="15" customHeight="1" x14ac:dyDescent="0.3">
      <c r="A95" s="16"/>
      <c r="B95" s="14"/>
      <c r="C95" s="15"/>
      <c r="D95" s="26"/>
      <c r="E95" s="101" t="s">
        <v>184</v>
      </c>
      <c r="F95" s="96">
        <f>2%*D94</f>
        <v>6.0190000000000001</v>
      </c>
      <c r="G95" s="97">
        <f>5%*D94</f>
        <v>15.047499999999999</v>
      </c>
      <c r="H95" s="96">
        <f>SUM(F95:G95)</f>
        <v>21.066499999999998</v>
      </c>
      <c r="I95" s="97">
        <v>0</v>
      </c>
      <c r="J95" s="97"/>
      <c r="K95" s="97">
        <v>0</v>
      </c>
      <c r="L95" s="97">
        <v>3</v>
      </c>
      <c r="M95" s="97">
        <f>SUM(I95:L95)</f>
        <v>3</v>
      </c>
      <c r="N95" s="35"/>
      <c r="O95" s="40"/>
      <c r="P95" s="238">
        <f t="shared" si="30"/>
        <v>54170999.999999993</v>
      </c>
      <c r="Q95" s="16"/>
    </row>
    <row r="96" spans="1:20" ht="32.25" customHeight="1" x14ac:dyDescent="0.3">
      <c r="A96" s="16"/>
      <c r="B96" s="98" t="s">
        <v>58</v>
      </c>
      <c r="C96" s="99" t="s">
        <v>42</v>
      </c>
      <c r="D96" s="26">
        <v>277.5</v>
      </c>
      <c r="E96" s="101" t="s">
        <v>203</v>
      </c>
      <c r="F96" s="96">
        <f>4%*D96</f>
        <v>11.1</v>
      </c>
      <c r="G96" s="97">
        <f>46%*D96</f>
        <v>127.65</v>
      </c>
      <c r="H96" s="96">
        <f t="shared" si="29"/>
        <v>138.75</v>
      </c>
      <c r="I96" s="97">
        <v>0</v>
      </c>
      <c r="J96" s="97"/>
      <c r="K96" s="97">
        <v>0</v>
      </c>
      <c r="L96" s="97">
        <v>2</v>
      </c>
      <c r="M96" s="97">
        <f>SUM(I96:L96)</f>
        <v>2</v>
      </c>
      <c r="N96" s="35"/>
      <c r="O96" s="40" t="s">
        <v>137</v>
      </c>
      <c r="P96" s="238">
        <f t="shared" si="30"/>
        <v>459540000</v>
      </c>
      <c r="Q96" s="16"/>
      <c r="S96" s="1" t="s">
        <v>593</v>
      </c>
    </row>
    <row r="97" spans="1:19" ht="14.25" customHeight="1" x14ac:dyDescent="0.3">
      <c r="A97" s="16"/>
      <c r="B97" s="14"/>
      <c r="C97" s="15"/>
      <c r="D97" s="26"/>
      <c r="E97" s="101" t="s">
        <v>184</v>
      </c>
      <c r="F97" s="96">
        <f>4%*D96</f>
        <v>11.1</v>
      </c>
      <c r="G97" s="97">
        <f>4%*D96</f>
        <v>11.1</v>
      </c>
      <c r="H97" s="96">
        <f>SUM(F97:G97)</f>
        <v>22.2</v>
      </c>
      <c r="I97" s="97"/>
      <c r="J97" s="97"/>
      <c r="K97" s="97"/>
      <c r="L97" s="97"/>
      <c r="M97" s="97"/>
      <c r="N97" s="35"/>
      <c r="O97" s="40"/>
      <c r="P97" s="238">
        <f t="shared" si="30"/>
        <v>39959999.999999993</v>
      </c>
      <c r="Q97" s="16"/>
      <c r="S97" s="1" t="s">
        <v>594</v>
      </c>
    </row>
    <row r="98" spans="1:19" ht="22.5" customHeight="1" x14ac:dyDescent="0.3">
      <c r="A98" s="16"/>
      <c r="B98" s="14" t="s">
        <v>59</v>
      </c>
      <c r="C98" s="15" t="s">
        <v>21</v>
      </c>
      <c r="D98" s="18">
        <v>162.94999999999999</v>
      </c>
      <c r="E98" s="101" t="s">
        <v>203</v>
      </c>
      <c r="F98" s="225">
        <f>5%*D98</f>
        <v>8.1474999999999991</v>
      </c>
      <c r="G98" s="225">
        <f>30%*D98</f>
        <v>48.884999999999998</v>
      </c>
      <c r="H98" s="96">
        <f t="shared" si="29"/>
        <v>57.032499999999999</v>
      </c>
      <c r="I98" s="97">
        <v>0</v>
      </c>
      <c r="J98" s="97"/>
      <c r="K98" s="97"/>
      <c r="L98" s="97">
        <v>4</v>
      </c>
      <c r="M98" s="97">
        <f>SUM(I98:L98)</f>
        <v>4</v>
      </c>
      <c r="N98" s="35"/>
      <c r="O98" s="36"/>
      <c r="P98" s="238">
        <f t="shared" si="30"/>
        <v>175985999.99999997</v>
      </c>
      <c r="Q98" s="16"/>
      <c r="S98" s="1" t="s">
        <v>595</v>
      </c>
    </row>
    <row r="99" spans="1:19" ht="24" customHeight="1" x14ac:dyDescent="0.3">
      <c r="A99" s="16"/>
      <c r="B99" s="14" t="s">
        <v>60</v>
      </c>
      <c r="C99" s="15" t="s">
        <v>43</v>
      </c>
      <c r="D99" s="26">
        <v>461.8</v>
      </c>
      <c r="E99" s="101" t="s">
        <v>221</v>
      </c>
      <c r="F99" s="96">
        <f>4%*D99</f>
        <v>18.472000000000001</v>
      </c>
      <c r="G99" s="97">
        <f>50%*D99</f>
        <v>230.9</v>
      </c>
      <c r="H99" s="96">
        <f t="shared" si="29"/>
        <v>249.37200000000001</v>
      </c>
      <c r="I99" s="97">
        <v>0</v>
      </c>
      <c r="J99" s="97"/>
      <c r="K99" s="97">
        <v>0</v>
      </c>
      <c r="L99" s="97">
        <v>3</v>
      </c>
      <c r="M99" s="97">
        <f>SUM(I99:L99)</f>
        <v>3</v>
      </c>
      <c r="N99" s="35"/>
      <c r="O99" s="36"/>
      <c r="P99" s="238">
        <f t="shared" si="30"/>
        <v>831240000</v>
      </c>
      <c r="Q99" s="16"/>
    </row>
    <row r="100" spans="1:19" ht="20.25" customHeight="1" x14ac:dyDescent="0.3">
      <c r="A100" s="16"/>
      <c r="B100" s="14"/>
      <c r="C100" s="15"/>
      <c r="D100" s="26"/>
      <c r="E100" s="101" t="s">
        <v>184</v>
      </c>
      <c r="F100" s="96">
        <f>4%*D99</f>
        <v>18.472000000000001</v>
      </c>
      <c r="G100" s="96">
        <f>5%*D99</f>
        <v>23.090000000000003</v>
      </c>
      <c r="H100" s="96">
        <f>SUM(F100:G100)</f>
        <v>41.562000000000005</v>
      </c>
      <c r="I100" s="97"/>
      <c r="J100" s="97"/>
      <c r="K100" s="97"/>
      <c r="L100" s="97"/>
      <c r="M100" s="97"/>
      <c r="N100" s="35"/>
      <c r="O100" s="36"/>
      <c r="P100" s="238">
        <f t="shared" si="30"/>
        <v>83124000</v>
      </c>
      <c r="Q100" s="16"/>
    </row>
    <row r="101" spans="1:19" ht="23.25" customHeight="1" x14ac:dyDescent="0.3">
      <c r="A101" s="16"/>
      <c r="B101" s="14" t="s">
        <v>61</v>
      </c>
      <c r="C101" s="15" t="s">
        <v>44</v>
      </c>
      <c r="D101" s="26">
        <v>84.65</v>
      </c>
      <c r="E101" s="101" t="s">
        <v>203</v>
      </c>
      <c r="F101" s="26">
        <f>9%*D101</f>
        <v>7.6185</v>
      </c>
      <c r="G101" s="220">
        <f>40%*D101</f>
        <v>33.860000000000007</v>
      </c>
      <c r="H101" s="26">
        <f t="shared" si="29"/>
        <v>41.478500000000004</v>
      </c>
      <c r="I101" s="19">
        <v>0</v>
      </c>
      <c r="J101" s="19"/>
      <c r="K101" s="19"/>
      <c r="L101" s="19">
        <v>2</v>
      </c>
      <c r="M101" s="19">
        <f t="shared" ref="M101" si="31">SUM(I101:L101)</f>
        <v>2</v>
      </c>
      <c r="N101" s="35"/>
      <c r="O101" s="36"/>
      <c r="P101" s="238">
        <f t="shared" si="30"/>
        <v>121896000</v>
      </c>
      <c r="Q101" s="16"/>
    </row>
    <row r="102" spans="1:19" ht="18.75" customHeight="1" x14ac:dyDescent="0.3">
      <c r="A102" s="75"/>
      <c r="B102" s="72" t="s">
        <v>350</v>
      </c>
      <c r="C102" s="72"/>
      <c r="D102" s="73">
        <f>SUM(D88:D101)</f>
        <v>1613.8300000000002</v>
      </c>
      <c r="E102" s="74"/>
      <c r="F102" s="73">
        <v>4</v>
      </c>
      <c r="G102" s="83">
        <f>SUM(G80:G101)</f>
        <v>700.70540000000005</v>
      </c>
      <c r="H102" s="73">
        <f>SUM(H80:H101)</f>
        <v>873.87080000000014</v>
      </c>
      <c r="I102" s="83">
        <f>SUM(I88:I101)</f>
        <v>0</v>
      </c>
      <c r="J102" s="83">
        <f>SUM(J88:J101)</f>
        <v>0</v>
      </c>
      <c r="K102" s="83">
        <f>SUM(K88:K101)</f>
        <v>0</v>
      </c>
      <c r="L102" s="83">
        <f>SUM(L88:L101)</f>
        <v>42</v>
      </c>
      <c r="M102" s="83">
        <f>SUM(M86:M101)</f>
        <v>47</v>
      </c>
      <c r="N102" s="76"/>
      <c r="O102" s="77"/>
      <c r="P102" s="184">
        <f>SUM(P93:P101)</f>
        <v>2199285000</v>
      </c>
      <c r="Q102" s="75"/>
    </row>
    <row r="103" spans="1:19" ht="4.5" customHeight="1" x14ac:dyDescent="0.3">
      <c r="F103" s="2"/>
      <c r="G103" s="2"/>
      <c r="H103" s="2"/>
      <c r="I103" s="2"/>
      <c r="J103" s="2"/>
      <c r="K103" s="2"/>
      <c r="L103" s="2"/>
      <c r="M103" s="2"/>
    </row>
    <row r="104" spans="1:19" ht="16.5" customHeight="1" x14ac:dyDescent="0.3">
      <c r="F104" s="2"/>
      <c r="G104" s="2"/>
      <c r="H104" s="2"/>
      <c r="I104" s="2"/>
      <c r="J104" s="2" t="s">
        <v>663</v>
      </c>
      <c r="K104" s="2"/>
      <c r="L104" s="2"/>
      <c r="M104" s="2"/>
    </row>
    <row r="105" spans="1:19" ht="12" customHeight="1" x14ac:dyDescent="0.3">
      <c r="A105" s="395" t="s">
        <v>80</v>
      </c>
      <c r="B105" s="395"/>
      <c r="C105" s="395"/>
      <c r="D105" s="395"/>
    </row>
    <row r="106" spans="1:19" x14ac:dyDescent="0.3">
      <c r="A106" s="395" t="s">
        <v>81</v>
      </c>
      <c r="B106" s="395"/>
      <c r="C106" s="395"/>
      <c r="D106" s="395"/>
      <c r="J106" s="1" t="s">
        <v>85</v>
      </c>
    </row>
    <row r="107" spans="1:19" x14ac:dyDescent="0.3">
      <c r="A107" s="395" t="s">
        <v>82</v>
      </c>
      <c r="B107" s="395"/>
      <c r="C107" s="395"/>
      <c r="D107" s="395"/>
      <c r="J107" s="3" t="s">
        <v>86</v>
      </c>
      <c r="K107" s="1" t="s">
        <v>175</v>
      </c>
      <c r="O107" s="1" t="s">
        <v>90</v>
      </c>
    </row>
    <row r="108" spans="1:19" x14ac:dyDescent="0.3">
      <c r="A108" s="395" t="s">
        <v>83</v>
      </c>
      <c r="B108" s="395"/>
      <c r="C108" s="395"/>
      <c r="D108" s="395"/>
      <c r="K108" s="1" t="s">
        <v>651</v>
      </c>
    </row>
    <row r="109" spans="1:19" ht="9.75" customHeight="1" x14ac:dyDescent="0.3"/>
    <row r="110" spans="1:19" ht="14.25" customHeight="1" x14ac:dyDescent="0.3">
      <c r="J110" s="3" t="s">
        <v>88</v>
      </c>
      <c r="K110" s="1" t="s">
        <v>87</v>
      </c>
      <c r="O110" s="1" t="s">
        <v>90</v>
      </c>
    </row>
    <row r="111" spans="1:19" x14ac:dyDescent="0.3">
      <c r="K111" s="1" t="s">
        <v>91</v>
      </c>
    </row>
    <row r="112" spans="1:19" ht="13.5" customHeight="1" x14ac:dyDescent="0.3">
      <c r="A112" s="398" t="s">
        <v>175</v>
      </c>
      <c r="B112" s="398"/>
      <c r="C112" s="398"/>
      <c r="D112" s="398"/>
    </row>
    <row r="113" spans="1:15" x14ac:dyDescent="0.3">
      <c r="A113" s="395" t="s">
        <v>190</v>
      </c>
      <c r="B113" s="395"/>
      <c r="C113" s="395"/>
      <c r="D113" s="395"/>
      <c r="J113" s="1" t="s">
        <v>254</v>
      </c>
      <c r="K113" s="1" t="s">
        <v>89</v>
      </c>
      <c r="O113" s="1" t="s">
        <v>90</v>
      </c>
    </row>
    <row r="114" spans="1:15" x14ac:dyDescent="0.3">
      <c r="K114" s="1" t="s">
        <v>92</v>
      </c>
    </row>
    <row r="115" spans="1:15" ht="8.25" customHeight="1" x14ac:dyDescent="0.3"/>
    <row r="116" spans="1:15" x14ac:dyDescent="0.3">
      <c r="J116" s="241" t="s">
        <v>265</v>
      </c>
      <c r="K116" s="1" t="s">
        <v>652</v>
      </c>
      <c r="O116" s="1" t="s">
        <v>90</v>
      </c>
    </row>
    <row r="117" spans="1:15" ht="14.25" customHeight="1" x14ac:dyDescent="0.3">
      <c r="J117" s="241"/>
      <c r="K117" s="1" t="s">
        <v>658</v>
      </c>
    </row>
    <row r="118" spans="1:15" ht="5.25" customHeight="1" x14ac:dyDescent="0.3">
      <c r="J118" s="241"/>
    </row>
    <row r="119" spans="1:15" x14ac:dyDescent="0.3">
      <c r="J119" s="241" t="s">
        <v>650</v>
      </c>
      <c r="K119" s="1" t="s">
        <v>255</v>
      </c>
      <c r="O119" s="1" t="s">
        <v>90</v>
      </c>
    </row>
    <row r="120" spans="1:15" x14ac:dyDescent="0.3">
      <c r="K120" s="1" t="s">
        <v>654</v>
      </c>
    </row>
  </sheetData>
  <mergeCells count="24">
    <mergeCell ref="A112:D112"/>
    <mergeCell ref="A113:D113"/>
    <mergeCell ref="O40:O52"/>
    <mergeCell ref="O54:O59"/>
    <mergeCell ref="A105:D105"/>
    <mergeCell ref="A106:D106"/>
    <mergeCell ref="A107:D107"/>
    <mergeCell ref="A108:D108"/>
    <mergeCell ref="O32:O38"/>
    <mergeCell ref="A1:Q1"/>
    <mergeCell ref="A2:Q2"/>
    <mergeCell ref="A6:A7"/>
    <mergeCell ref="B6:C6"/>
    <mergeCell ref="D6:D7"/>
    <mergeCell ref="E6:E7"/>
    <mergeCell ref="F6:H6"/>
    <mergeCell ref="I6:M6"/>
    <mergeCell ref="N6:O7"/>
    <mergeCell ref="P6:P7"/>
    <mergeCell ref="Q6:Q7"/>
    <mergeCell ref="B7:C7"/>
    <mergeCell ref="B24:C24"/>
    <mergeCell ref="O26:O29"/>
    <mergeCell ref="B30:C30"/>
  </mergeCells>
  <pageMargins left="0.36" right="0.70866141732283472" top="0.74803149606299213" bottom="0.74803149606299213" header="0.31496062992125984" footer="0.31496062992125984"/>
  <pageSetup paperSize="5" scale="90" orientation="landscape" horizontalDpi="4294967292"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T122"/>
  <sheetViews>
    <sheetView view="pageBreakPreview" topLeftCell="A100" zoomScale="96" zoomScaleNormal="100" zoomScaleSheetLayoutView="96" workbookViewId="0">
      <selection activeCell="G32" sqref="G32"/>
    </sheetView>
  </sheetViews>
  <sheetFormatPr defaultColWidth="9.1796875" defaultRowHeight="14" x14ac:dyDescent="0.3"/>
  <cols>
    <col min="1" max="1" width="4.81640625" style="1" customWidth="1"/>
    <col min="2" max="2" width="2.1796875" style="1" customWidth="1"/>
    <col min="3" max="3" width="16.26953125" style="1" customWidth="1"/>
    <col min="4" max="4" width="12" style="1" customWidth="1"/>
    <col min="5" max="5" width="30.54296875" style="1" customWidth="1"/>
    <col min="6" max="6" width="11" style="1" bestFit="1" customWidth="1"/>
    <col min="7" max="7" width="8.81640625" style="1" customWidth="1"/>
    <col min="8" max="8" width="9" style="1" customWidth="1"/>
    <col min="9" max="9" width="6.7265625" style="1" customWidth="1"/>
    <col min="10" max="10" width="7" style="1" customWidth="1"/>
    <col min="11" max="12" width="7.54296875" style="1" customWidth="1"/>
    <col min="13" max="13" width="6.81640625" style="1" bestFit="1" customWidth="1"/>
    <col min="14" max="14" width="2" style="1" customWidth="1"/>
    <col min="15" max="15" width="17" style="1" customWidth="1"/>
    <col min="16" max="16" width="12.26953125" style="1" customWidth="1"/>
    <col min="17" max="17" width="8.81640625" style="1" customWidth="1"/>
    <col min="18" max="19" width="9.1796875" style="1"/>
    <col min="20" max="20" width="10.7265625" style="1" customWidth="1"/>
    <col min="21" max="16384" width="9.1796875" style="1"/>
  </cols>
  <sheetData>
    <row r="1" spans="1:20" x14ac:dyDescent="0.3">
      <c r="A1" s="385" t="s">
        <v>260</v>
      </c>
      <c r="B1" s="385"/>
      <c r="C1" s="385"/>
      <c r="D1" s="385"/>
      <c r="E1" s="385"/>
      <c r="F1" s="385"/>
      <c r="G1" s="385"/>
      <c r="H1" s="385"/>
      <c r="I1" s="385"/>
      <c r="J1" s="385"/>
      <c r="K1" s="385"/>
      <c r="L1" s="385"/>
      <c r="M1" s="385"/>
      <c r="N1" s="385"/>
      <c r="O1" s="385"/>
      <c r="P1" s="385"/>
      <c r="Q1" s="385"/>
    </row>
    <row r="2" spans="1:20" ht="14.25" customHeight="1" x14ac:dyDescent="0.3">
      <c r="A2" s="385" t="s">
        <v>646</v>
      </c>
      <c r="B2" s="385"/>
      <c r="C2" s="385"/>
      <c r="D2" s="385"/>
      <c r="E2" s="385"/>
      <c r="F2" s="385"/>
      <c r="G2" s="385"/>
      <c r="H2" s="385"/>
      <c r="I2" s="385"/>
      <c r="J2" s="385"/>
      <c r="K2" s="385"/>
      <c r="L2" s="385"/>
      <c r="M2" s="385"/>
      <c r="N2" s="385"/>
      <c r="O2" s="385"/>
      <c r="P2" s="385"/>
      <c r="Q2" s="385"/>
    </row>
    <row r="3" spans="1:20" ht="14.25" customHeight="1" x14ac:dyDescent="0.3">
      <c r="A3" s="1" t="s">
        <v>1</v>
      </c>
      <c r="C3" s="1" t="s">
        <v>603</v>
      </c>
    </row>
    <row r="4" spans="1:20" ht="14.25" customHeight="1" x14ac:dyDescent="0.3">
      <c r="A4" s="1" t="s">
        <v>2</v>
      </c>
      <c r="C4" s="1" t="s">
        <v>664</v>
      </c>
      <c r="D4" s="4"/>
    </row>
    <row r="5" spans="1:20" ht="6" customHeight="1" x14ac:dyDescent="0.3"/>
    <row r="6" spans="1:20" x14ac:dyDescent="0.3">
      <c r="A6" s="386" t="s">
        <v>3</v>
      </c>
      <c r="B6" s="388" t="s">
        <v>4</v>
      </c>
      <c r="C6" s="388"/>
      <c r="D6" s="391" t="s">
        <v>259</v>
      </c>
      <c r="E6" s="391" t="s">
        <v>7</v>
      </c>
      <c r="F6" s="393" t="s">
        <v>170</v>
      </c>
      <c r="G6" s="393"/>
      <c r="H6" s="393"/>
      <c r="I6" s="393" t="s">
        <v>12</v>
      </c>
      <c r="J6" s="393"/>
      <c r="K6" s="393"/>
      <c r="L6" s="393"/>
      <c r="M6" s="393"/>
      <c r="N6" s="391" t="s">
        <v>17</v>
      </c>
      <c r="O6" s="391"/>
      <c r="P6" s="391" t="s">
        <v>258</v>
      </c>
      <c r="Q6" s="386" t="s">
        <v>192</v>
      </c>
    </row>
    <row r="7" spans="1:20" ht="24.75" customHeight="1" x14ac:dyDescent="0.3">
      <c r="A7" s="387"/>
      <c r="B7" s="394" t="s">
        <v>5</v>
      </c>
      <c r="C7" s="394"/>
      <c r="D7" s="392"/>
      <c r="E7" s="392"/>
      <c r="F7" s="147" t="s">
        <v>9</v>
      </c>
      <c r="G7" s="147" t="s">
        <v>10</v>
      </c>
      <c r="H7" s="147" t="s">
        <v>11</v>
      </c>
      <c r="I7" s="147" t="s">
        <v>16</v>
      </c>
      <c r="J7" s="147" t="s">
        <v>13</v>
      </c>
      <c r="K7" s="147" t="s">
        <v>14</v>
      </c>
      <c r="L7" s="148" t="s">
        <v>257</v>
      </c>
      <c r="M7" s="147" t="s">
        <v>11</v>
      </c>
      <c r="N7" s="392"/>
      <c r="O7" s="392"/>
      <c r="P7" s="392"/>
      <c r="Q7" s="387"/>
    </row>
    <row r="8" spans="1:20" ht="6" customHeight="1" x14ac:dyDescent="0.3">
      <c r="A8" s="5"/>
      <c r="B8" s="8"/>
      <c r="C8" s="10"/>
      <c r="D8" s="5"/>
      <c r="E8" s="5"/>
      <c r="F8" s="5"/>
      <c r="G8" s="5"/>
      <c r="H8" s="5"/>
      <c r="I8" s="5"/>
      <c r="J8" s="5"/>
      <c r="K8" s="5"/>
      <c r="L8" s="5"/>
      <c r="M8" s="5"/>
      <c r="N8" s="8"/>
      <c r="O8" s="10"/>
      <c r="P8" s="10"/>
      <c r="Q8" s="5"/>
    </row>
    <row r="9" spans="1:20" ht="17.25" customHeight="1" x14ac:dyDescent="0.3">
      <c r="A9" s="13">
        <v>1</v>
      </c>
      <c r="B9" s="14" t="s">
        <v>20</v>
      </c>
      <c r="C9" s="15"/>
      <c r="D9" s="16"/>
      <c r="E9" s="47"/>
      <c r="F9" s="16"/>
      <c r="G9" s="16"/>
      <c r="H9" s="16"/>
      <c r="I9" s="16"/>
      <c r="J9" s="16"/>
      <c r="K9" s="16"/>
      <c r="L9" s="16"/>
      <c r="M9" s="16"/>
      <c r="N9" s="35"/>
      <c r="O9" s="36"/>
      <c r="P9" s="226"/>
      <c r="Q9" s="16"/>
    </row>
    <row r="10" spans="1:20" ht="28.5" customHeight="1" x14ac:dyDescent="0.3">
      <c r="A10" s="13"/>
      <c r="B10" s="17" t="s">
        <v>57</v>
      </c>
      <c r="C10" s="15" t="s">
        <v>21</v>
      </c>
      <c r="D10" s="18">
        <v>430.06</v>
      </c>
      <c r="E10" s="49" t="s">
        <v>649</v>
      </c>
      <c r="F10" s="26">
        <f>3%*D10</f>
        <v>12.9018</v>
      </c>
      <c r="G10" s="26">
        <f>0.6%*D10</f>
        <v>2.5803600000000002</v>
      </c>
      <c r="H10" s="26">
        <f>SUM(F10:G10)</f>
        <v>15.48216</v>
      </c>
      <c r="I10" s="19">
        <v>0</v>
      </c>
      <c r="J10" s="19"/>
      <c r="K10" s="19"/>
      <c r="L10" s="19">
        <v>5</v>
      </c>
      <c r="M10" s="20">
        <f>SUM(I10:L10)</f>
        <v>5</v>
      </c>
      <c r="N10" s="37"/>
      <c r="O10" s="36"/>
      <c r="P10" s="227">
        <f t="shared" ref="P10:P23" si="0">G10*0.261*12%*0</f>
        <v>0</v>
      </c>
      <c r="Q10" s="16"/>
      <c r="S10" s="1" t="s">
        <v>333</v>
      </c>
      <c r="T10" s="1" t="s">
        <v>341</v>
      </c>
    </row>
    <row r="11" spans="1:20" ht="18.75" customHeight="1" x14ac:dyDescent="0.3">
      <c r="A11" s="13"/>
      <c r="B11" s="14"/>
      <c r="C11" s="15"/>
      <c r="D11" s="18"/>
      <c r="E11" s="47" t="s">
        <v>37</v>
      </c>
      <c r="F11" s="26">
        <f>3%*D10</f>
        <v>12.9018</v>
      </c>
      <c r="G11" s="26">
        <f>0.4%*D10</f>
        <v>1.72024</v>
      </c>
      <c r="H11" s="26">
        <f>SUM(F11:G11)</f>
        <v>14.62204</v>
      </c>
      <c r="I11" s="19">
        <v>0</v>
      </c>
      <c r="J11" s="19"/>
      <c r="K11" s="19"/>
      <c r="L11" s="19">
        <v>6</v>
      </c>
      <c r="M11" s="20">
        <f t="shared" ref="M11:M23" si="1">SUM(I11:L11)</f>
        <v>6</v>
      </c>
      <c r="N11" s="37" t="s">
        <v>51</v>
      </c>
      <c r="O11" s="38" t="s">
        <v>50</v>
      </c>
      <c r="P11" s="227">
        <f t="shared" si="0"/>
        <v>0</v>
      </c>
      <c r="Q11" s="16"/>
    </row>
    <row r="12" spans="1:20" ht="18.75" customHeight="1" x14ac:dyDescent="0.3">
      <c r="A12" s="13"/>
      <c r="B12" s="14"/>
      <c r="C12" s="15"/>
      <c r="D12" s="18"/>
      <c r="E12" s="47" t="s">
        <v>38</v>
      </c>
      <c r="F12" s="26">
        <f>2%*D10</f>
        <v>8.6012000000000004</v>
      </c>
      <c r="G12" s="26">
        <f>2%*D10</f>
        <v>8.6012000000000004</v>
      </c>
      <c r="H12" s="26">
        <f>SUM(F12:G12)</f>
        <v>17.202400000000001</v>
      </c>
      <c r="I12" s="19">
        <v>0</v>
      </c>
      <c r="J12" s="19"/>
      <c r="K12" s="19"/>
      <c r="L12" s="19">
        <v>7</v>
      </c>
      <c r="M12" s="20">
        <f t="shared" si="1"/>
        <v>7</v>
      </c>
      <c r="N12" s="37" t="s">
        <v>51</v>
      </c>
      <c r="O12" s="36" t="s">
        <v>632</v>
      </c>
      <c r="P12" s="227">
        <f t="shared" si="0"/>
        <v>0</v>
      </c>
      <c r="Q12" s="16"/>
      <c r="S12" s="1" t="s">
        <v>343</v>
      </c>
    </row>
    <row r="13" spans="1:20" ht="24" customHeight="1" x14ac:dyDescent="0.3">
      <c r="A13" s="13"/>
      <c r="B13" s="14"/>
      <c r="C13" s="15"/>
      <c r="D13" s="18"/>
      <c r="E13" s="48" t="s">
        <v>39</v>
      </c>
      <c r="F13" s="96">
        <f>15%*D10</f>
        <v>64.509</v>
      </c>
      <c r="G13" s="96">
        <f>7%*D10</f>
        <v>30.104200000000002</v>
      </c>
      <c r="H13" s="96">
        <f>SUM(F13:G13)</f>
        <v>94.613200000000006</v>
      </c>
      <c r="I13" s="97">
        <v>0</v>
      </c>
      <c r="J13" s="97">
        <v>0</v>
      </c>
      <c r="K13" s="97">
        <v>0</v>
      </c>
      <c r="L13" s="97">
        <v>3</v>
      </c>
      <c r="M13" s="121">
        <f t="shared" si="1"/>
        <v>3</v>
      </c>
      <c r="N13" s="39" t="s">
        <v>51</v>
      </c>
      <c r="O13" s="40" t="s">
        <v>48</v>
      </c>
      <c r="P13" s="227">
        <f t="shared" si="0"/>
        <v>0</v>
      </c>
      <c r="Q13" s="16"/>
      <c r="S13" s="1" t="s">
        <v>342</v>
      </c>
    </row>
    <row r="14" spans="1:20" ht="18.75" customHeight="1" x14ac:dyDescent="0.3">
      <c r="A14" s="13"/>
      <c r="B14" s="17" t="s">
        <v>58</v>
      </c>
      <c r="C14" s="15" t="s">
        <v>22</v>
      </c>
      <c r="D14" s="18">
        <v>856.82</v>
      </c>
      <c r="E14" s="47" t="s">
        <v>36</v>
      </c>
      <c r="F14" s="26">
        <f>3%*D14</f>
        <v>25.704599999999999</v>
      </c>
      <c r="G14" s="26">
        <f>5%*D14</f>
        <v>42.841000000000008</v>
      </c>
      <c r="H14" s="26">
        <f>SUM(F14:G14)</f>
        <v>68.545600000000007</v>
      </c>
      <c r="I14" s="19">
        <v>0</v>
      </c>
      <c r="J14" s="19"/>
      <c r="K14" s="19"/>
      <c r="L14" s="19">
        <v>6</v>
      </c>
      <c r="M14" s="20">
        <f t="shared" si="1"/>
        <v>6</v>
      </c>
      <c r="N14" s="35" t="s">
        <v>51</v>
      </c>
      <c r="O14" s="41" t="s">
        <v>137</v>
      </c>
      <c r="P14" s="227">
        <f t="shared" si="0"/>
        <v>0</v>
      </c>
      <c r="Q14" s="16"/>
    </row>
    <row r="15" spans="1:20" ht="18.75" customHeight="1" x14ac:dyDescent="0.3">
      <c r="A15" s="13"/>
      <c r="B15" s="14"/>
      <c r="C15" s="15"/>
      <c r="D15" s="26"/>
      <c r="E15" s="47" t="s">
        <v>37</v>
      </c>
      <c r="F15" s="26">
        <f>3%*D14</f>
        <v>25.704599999999999</v>
      </c>
      <c r="G15" s="26">
        <f>3%*D14</f>
        <v>25.704599999999999</v>
      </c>
      <c r="H15" s="26">
        <f t="shared" ref="H15:H17" si="2">SUM(F15:G15)</f>
        <v>51.409199999999998</v>
      </c>
      <c r="I15" s="19">
        <v>0</v>
      </c>
      <c r="J15" s="19"/>
      <c r="K15" s="19">
        <v>5</v>
      </c>
      <c r="L15" s="19">
        <v>6</v>
      </c>
      <c r="M15" s="20">
        <f t="shared" si="1"/>
        <v>11</v>
      </c>
      <c r="N15" s="35"/>
      <c r="O15" s="36"/>
      <c r="P15" s="227">
        <f t="shared" si="0"/>
        <v>0</v>
      </c>
      <c r="Q15" s="16"/>
      <c r="S15" s="1" t="s">
        <v>344</v>
      </c>
    </row>
    <row r="16" spans="1:20" ht="18.75" customHeight="1" x14ac:dyDescent="0.3">
      <c r="A16" s="13"/>
      <c r="B16" s="14"/>
      <c r="C16" s="15"/>
      <c r="D16" s="26"/>
      <c r="E16" s="47" t="s">
        <v>38</v>
      </c>
      <c r="F16" s="26">
        <f>2%*D14</f>
        <v>17.136400000000002</v>
      </c>
      <c r="G16" s="26">
        <f>3%*D14</f>
        <v>25.704599999999999</v>
      </c>
      <c r="H16" s="26">
        <f t="shared" si="2"/>
        <v>42.841000000000001</v>
      </c>
      <c r="I16" s="19">
        <v>0</v>
      </c>
      <c r="J16" s="19"/>
      <c r="K16" s="19"/>
      <c r="L16" s="19">
        <v>6</v>
      </c>
      <c r="M16" s="20">
        <f t="shared" si="1"/>
        <v>6</v>
      </c>
      <c r="N16" s="35"/>
      <c r="O16" s="36"/>
      <c r="P16" s="227">
        <f t="shared" si="0"/>
        <v>0</v>
      </c>
      <c r="Q16" s="16"/>
      <c r="S16" s="1" t="s">
        <v>345</v>
      </c>
    </row>
    <row r="17" spans="1:20" ht="21" customHeight="1" x14ac:dyDescent="0.3">
      <c r="A17" s="54"/>
      <c r="B17" s="55"/>
      <c r="C17" s="56"/>
      <c r="D17" s="57"/>
      <c r="E17" s="58" t="s">
        <v>39</v>
      </c>
      <c r="F17" s="119">
        <f>3%*D14</f>
        <v>25.704599999999999</v>
      </c>
      <c r="G17" s="119">
        <f>2%*D14</f>
        <v>17.136400000000002</v>
      </c>
      <c r="H17" s="119">
        <f t="shared" si="2"/>
        <v>42.841000000000001</v>
      </c>
      <c r="I17" s="59">
        <v>0</v>
      </c>
      <c r="J17" s="59">
        <v>0</v>
      </c>
      <c r="K17" s="59">
        <v>0</v>
      </c>
      <c r="L17" s="59">
        <v>2</v>
      </c>
      <c r="M17" s="60">
        <f t="shared" si="1"/>
        <v>2</v>
      </c>
      <c r="N17" s="42"/>
      <c r="O17" s="38"/>
      <c r="P17" s="228">
        <f t="shared" si="0"/>
        <v>0</v>
      </c>
      <c r="Q17" s="29"/>
    </row>
    <row r="18" spans="1:20" ht="18.75" customHeight="1" x14ac:dyDescent="0.3">
      <c r="A18" s="54"/>
      <c r="B18" s="55" t="s">
        <v>59</v>
      </c>
      <c r="C18" s="56" t="s">
        <v>27</v>
      </c>
      <c r="D18" s="18">
        <v>113.45</v>
      </c>
      <c r="E18" s="47" t="s">
        <v>36</v>
      </c>
      <c r="F18" s="26">
        <f>25%*D18</f>
        <v>28.362500000000001</v>
      </c>
      <c r="G18" s="26">
        <f>3%*F18</f>
        <v>0.85087499999999994</v>
      </c>
      <c r="H18" s="26">
        <f>SUM(F18:G18)</f>
        <v>29.213374999999999</v>
      </c>
      <c r="I18" s="19">
        <v>0</v>
      </c>
      <c r="J18" s="19"/>
      <c r="K18" s="19"/>
      <c r="L18" s="19"/>
      <c r="M18" s="20">
        <f t="shared" si="1"/>
        <v>0</v>
      </c>
      <c r="N18" s="42"/>
      <c r="O18" s="38"/>
      <c r="P18" s="227">
        <f t="shared" si="0"/>
        <v>0</v>
      </c>
      <c r="Q18" s="29"/>
    </row>
    <row r="19" spans="1:20" ht="19.5" customHeight="1" x14ac:dyDescent="0.3">
      <c r="A19" s="54"/>
      <c r="B19" s="55"/>
      <c r="C19" s="56"/>
      <c r="D19" s="26"/>
      <c r="E19" s="47" t="s">
        <v>37</v>
      </c>
      <c r="F19" s="26">
        <f>3%*D18</f>
        <v>3.4034999999999997</v>
      </c>
      <c r="G19" s="26">
        <f>4%*D18</f>
        <v>4.5380000000000003</v>
      </c>
      <c r="H19" s="26">
        <f t="shared" ref="H19:H20" si="3">SUM(F19:G19)</f>
        <v>7.9414999999999996</v>
      </c>
      <c r="I19" s="19">
        <v>0</v>
      </c>
      <c r="J19" s="19"/>
      <c r="K19" s="19"/>
      <c r="L19" s="19">
        <v>2</v>
      </c>
      <c r="M19" s="20">
        <f t="shared" si="1"/>
        <v>2</v>
      </c>
      <c r="N19" s="42"/>
      <c r="O19" s="38"/>
      <c r="P19" s="227">
        <f t="shared" si="0"/>
        <v>0</v>
      </c>
      <c r="Q19" s="29"/>
    </row>
    <row r="20" spans="1:20" ht="17.25" customHeight="1" x14ac:dyDescent="0.3">
      <c r="A20" s="54"/>
      <c r="B20" s="55"/>
      <c r="C20" s="56"/>
      <c r="D20" s="26"/>
      <c r="E20" s="47" t="s">
        <v>38</v>
      </c>
      <c r="F20" s="26">
        <f>4%*D18</f>
        <v>4.5380000000000003</v>
      </c>
      <c r="G20" s="26">
        <f>4%*D18</f>
        <v>4.5380000000000003</v>
      </c>
      <c r="H20" s="26">
        <f t="shared" si="3"/>
        <v>9.0760000000000005</v>
      </c>
      <c r="I20" s="19">
        <v>0</v>
      </c>
      <c r="J20" s="19"/>
      <c r="K20" s="19"/>
      <c r="L20" s="19">
        <v>2</v>
      </c>
      <c r="M20" s="20">
        <f t="shared" si="1"/>
        <v>2</v>
      </c>
      <c r="N20" s="42"/>
      <c r="O20" s="38"/>
      <c r="P20" s="227">
        <f t="shared" si="0"/>
        <v>0</v>
      </c>
      <c r="Q20" s="29"/>
    </row>
    <row r="21" spans="1:20" ht="21.75" customHeight="1" x14ac:dyDescent="0.3">
      <c r="A21" s="13"/>
      <c r="B21" s="17" t="s">
        <v>60</v>
      </c>
      <c r="C21" s="15" t="s">
        <v>42</v>
      </c>
      <c r="D21" s="18">
        <v>527.28</v>
      </c>
      <c r="E21" s="47" t="s">
        <v>36</v>
      </c>
      <c r="F21" s="26">
        <f>35%*D18</f>
        <v>39.707499999999996</v>
      </c>
      <c r="G21" s="26">
        <f>4%*D21</f>
        <v>21.091200000000001</v>
      </c>
      <c r="H21" s="26">
        <f>SUM(F21:G21)</f>
        <v>60.798699999999997</v>
      </c>
      <c r="I21" s="19">
        <v>0</v>
      </c>
      <c r="J21" s="19"/>
      <c r="K21" s="19"/>
      <c r="L21" s="19">
        <v>5</v>
      </c>
      <c r="M21" s="20">
        <f t="shared" si="1"/>
        <v>5</v>
      </c>
      <c r="N21" s="35"/>
      <c r="O21" s="36"/>
      <c r="P21" s="227">
        <f t="shared" si="0"/>
        <v>0</v>
      </c>
      <c r="Q21" s="29"/>
    </row>
    <row r="22" spans="1:20" ht="18.75" customHeight="1" x14ac:dyDescent="0.3">
      <c r="A22" s="13"/>
      <c r="B22" s="14"/>
      <c r="C22" s="15"/>
      <c r="D22" s="26"/>
      <c r="E22" s="47" t="s">
        <v>37</v>
      </c>
      <c r="F22" s="26">
        <f>30%*D21</f>
        <v>158.184</v>
      </c>
      <c r="G22" s="26">
        <f>5%*D21</f>
        <v>26.364000000000001</v>
      </c>
      <c r="H22" s="26">
        <f t="shared" ref="H22:H23" si="4">SUM(F22:G22)</f>
        <v>184.548</v>
      </c>
      <c r="I22" s="19">
        <v>0</v>
      </c>
      <c r="J22" s="19"/>
      <c r="K22" s="19"/>
      <c r="L22" s="19">
        <v>5</v>
      </c>
      <c r="M22" s="20">
        <f t="shared" si="1"/>
        <v>5</v>
      </c>
      <c r="N22" s="35"/>
      <c r="O22" s="36"/>
      <c r="P22" s="227">
        <f t="shared" si="0"/>
        <v>0</v>
      </c>
      <c r="Q22" s="29"/>
    </row>
    <row r="23" spans="1:20" ht="18" customHeight="1" x14ac:dyDescent="0.3">
      <c r="A23" s="13"/>
      <c r="B23" s="14"/>
      <c r="C23" s="15"/>
      <c r="D23" s="26"/>
      <c r="E23" s="47" t="s">
        <v>38</v>
      </c>
      <c r="F23" s="26">
        <f>2%*D21</f>
        <v>10.5456</v>
      </c>
      <c r="G23" s="26">
        <f>5%*D21</f>
        <v>26.364000000000001</v>
      </c>
      <c r="H23" s="26">
        <f t="shared" si="4"/>
        <v>36.909599999999998</v>
      </c>
      <c r="I23" s="19">
        <v>0</v>
      </c>
      <c r="J23" s="19"/>
      <c r="K23" s="19"/>
      <c r="L23" s="19">
        <v>3</v>
      </c>
      <c r="M23" s="20">
        <f t="shared" si="1"/>
        <v>3</v>
      </c>
      <c r="N23" s="80"/>
      <c r="O23" s="81"/>
      <c r="P23" s="227">
        <f t="shared" si="0"/>
        <v>0</v>
      </c>
      <c r="Q23" s="88"/>
    </row>
    <row r="24" spans="1:20" ht="18.75" customHeight="1" x14ac:dyDescent="0.3">
      <c r="A24" s="89"/>
      <c r="B24" s="402" t="s">
        <v>325</v>
      </c>
      <c r="C24" s="403"/>
      <c r="D24" s="73">
        <f>SUM(D9:D17)</f>
        <v>1286.8800000000001</v>
      </c>
      <c r="E24" s="74"/>
      <c r="F24" s="118">
        <f>SUM(F9:F17)</f>
        <v>193.16400000000002</v>
      </c>
      <c r="G24" s="118">
        <f>SUM(G9:G17)</f>
        <v>154.39260000000002</v>
      </c>
      <c r="H24" s="118">
        <f>SUM(H9:H17)</f>
        <v>347.5566</v>
      </c>
      <c r="I24" s="75">
        <f>SUM(I9:I17)</f>
        <v>0</v>
      </c>
      <c r="J24" s="75">
        <f>SUM(J9:J17)</f>
        <v>0</v>
      </c>
      <c r="K24" s="75">
        <f>SUM(K8:K23)</f>
        <v>5</v>
      </c>
      <c r="L24" s="160">
        <f>SUM(L10:L23)</f>
        <v>58</v>
      </c>
      <c r="M24" s="75">
        <f>SUM(M9:M17)</f>
        <v>46</v>
      </c>
      <c r="N24" s="76"/>
      <c r="O24" s="77"/>
      <c r="P24" s="229">
        <f>SUM(P10:P23)</f>
        <v>0</v>
      </c>
      <c r="Q24" s="75"/>
    </row>
    <row r="25" spans="1:20" ht="17.25" customHeight="1" x14ac:dyDescent="0.3">
      <c r="A25" s="63">
        <v>2</v>
      </c>
      <c r="B25" s="64" t="s">
        <v>23</v>
      </c>
      <c r="C25" s="65"/>
      <c r="D25" s="66"/>
      <c r="E25" s="67"/>
      <c r="F25" s="68"/>
      <c r="G25" s="68"/>
      <c r="H25" s="68"/>
      <c r="I25" s="68"/>
      <c r="J25" s="68"/>
      <c r="K25" s="68"/>
      <c r="L25" s="68"/>
      <c r="M25" s="68"/>
      <c r="N25" s="69"/>
      <c r="O25" s="70"/>
      <c r="P25" s="230"/>
      <c r="Q25" s="68"/>
      <c r="S25" s="1" t="s">
        <v>333</v>
      </c>
    </row>
    <row r="26" spans="1:20" ht="16.5" customHeight="1" x14ac:dyDescent="0.3">
      <c r="A26" s="13"/>
      <c r="B26" s="14" t="s">
        <v>57</v>
      </c>
      <c r="C26" s="15" t="s">
        <v>22</v>
      </c>
      <c r="D26" s="26">
        <v>203.28</v>
      </c>
      <c r="E26" s="47" t="s">
        <v>40</v>
      </c>
      <c r="F26" s="19">
        <f>25%*D26</f>
        <v>50.82</v>
      </c>
      <c r="G26" s="224">
        <f>1%*D26</f>
        <v>2.0327999999999999</v>
      </c>
      <c r="H26" s="19">
        <f t="shared" ref="H26" si="5">SUM(F26:G26)</f>
        <v>52.852800000000002</v>
      </c>
      <c r="I26" s="19">
        <v>0</v>
      </c>
      <c r="J26" s="19">
        <v>0</v>
      </c>
      <c r="K26" s="19">
        <v>0</v>
      </c>
      <c r="L26" s="19">
        <v>2</v>
      </c>
      <c r="M26" s="20">
        <f t="shared" ref="M26:M31" si="6">SUM(I26:L26)</f>
        <v>2</v>
      </c>
      <c r="N26" s="37" t="s">
        <v>51</v>
      </c>
      <c r="O26" s="404" t="s">
        <v>633</v>
      </c>
      <c r="P26" s="231">
        <f t="shared" ref="P26:P31" si="7">G26*0.52*20%*19000000</f>
        <v>4016812.8000000003</v>
      </c>
      <c r="Q26" s="16"/>
      <c r="S26" s="1" t="s">
        <v>659</v>
      </c>
      <c r="T26" s="1" t="s">
        <v>661</v>
      </c>
    </row>
    <row r="27" spans="1:20" ht="16.5" customHeight="1" x14ac:dyDescent="0.3">
      <c r="A27" s="54"/>
      <c r="B27" s="55"/>
      <c r="C27" s="56"/>
      <c r="D27" s="57"/>
      <c r="E27" s="47" t="s">
        <v>629</v>
      </c>
      <c r="F27" s="19">
        <f>25%*D27</f>
        <v>0</v>
      </c>
      <c r="G27" s="224">
        <v>3</v>
      </c>
      <c r="H27" s="19">
        <f t="shared" ref="H27" si="8">SUM(F27:G27)</f>
        <v>3</v>
      </c>
      <c r="I27" s="19"/>
      <c r="J27" s="19"/>
      <c r="K27" s="19"/>
      <c r="L27" s="19"/>
      <c r="M27" s="20"/>
      <c r="N27" s="37"/>
      <c r="O27" s="404"/>
      <c r="P27" s="231">
        <f t="shared" si="7"/>
        <v>5928000.0000000009</v>
      </c>
      <c r="Q27" s="16"/>
    </row>
    <row r="28" spans="1:20" ht="14.25" customHeight="1" x14ac:dyDescent="0.3">
      <c r="A28" s="54"/>
      <c r="B28" s="55" t="s">
        <v>58</v>
      </c>
      <c r="C28" s="56" t="s">
        <v>42</v>
      </c>
      <c r="D28" s="57">
        <v>57</v>
      </c>
      <c r="E28" s="47" t="s">
        <v>40</v>
      </c>
      <c r="F28" s="19">
        <f>11%*D28</f>
        <v>6.2700000000000005</v>
      </c>
      <c r="G28" s="224">
        <f>3%*D26</f>
        <v>6.0983999999999998</v>
      </c>
      <c r="H28" s="19">
        <f t="shared" ref="H28" si="9">SUM(F28:G28)</f>
        <v>12.368400000000001</v>
      </c>
      <c r="I28" s="19">
        <v>0</v>
      </c>
      <c r="J28" s="19"/>
      <c r="K28" s="19">
        <v>0</v>
      </c>
      <c r="L28" s="19">
        <v>0</v>
      </c>
      <c r="M28" s="20">
        <f t="shared" si="6"/>
        <v>0</v>
      </c>
      <c r="N28" s="37"/>
      <c r="O28" s="404"/>
      <c r="P28" s="231">
        <f t="shared" si="7"/>
        <v>12050438.4</v>
      </c>
      <c r="Q28" s="16"/>
      <c r="S28" s="217" t="s">
        <v>660</v>
      </c>
      <c r="T28" s="1" t="s">
        <v>334</v>
      </c>
    </row>
    <row r="29" spans="1:20" ht="14.25" customHeight="1" x14ac:dyDescent="0.3">
      <c r="A29" s="54"/>
      <c r="B29" s="55"/>
      <c r="C29" s="56"/>
      <c r="D29" s="57"/>
      <c r="E29" s="47" t="s">
        <v>629</v>
      </c>
      <c r="F29" s="224">
        <f>10%*D28</f>
        <v>5.7</v>
      </c>
      <c r="G29" s="224">
        <f>3%*D28</f>
        <v>1.71</v>
      </c>
      <c r="H29" s="79">
        <f>F29+G29</f>
        <v>7.41</v>
      </c>
      <c r="I29" s="19">
        <v>0</v>
      </c>
      <c r="J29" s="19"/>
      <c r="K29" s="19"/>
      <c r="L29" s="19">
        <v>1</v>
      </c>
      <c r="M29" s="20">
        <f t="shared" si="6"/>
        <v>1</v>
      </c>
      <c r="N29" s="37"/>
      <c r="O29" s="404"/>
      <c r="P29" s="231">
        <f t="shared" si="7"/>
        <v>3378960</v>
      </c>
      <c r="Q29" s="16"/>
    </row>
    <row r="30" spans="1:20" ht="17.25" customHeight="1" x14ac:dyDescent="0.3">
      <c r="A30" s="54"/>
      <c r="B30" s="55" t="s">
        <v>59</v>
      </c>
      <c r="C30" s="56" t="s">
        <v>21</v>
      </c>
      <c r="D30" s="57">
        <v>72.94</v>
      </c>
      <c r="E30" s="47" t="s">
        <v>40</v>
      </c>
      <c r="F30" s="19">
        <v>7</v>
      </c>
      <c r="G30" s="224">
        <f>4%*D30</f>
        <v>2.9175999999999997</v>
      </c>
      <c r="H30" s="19">
        <f>F30+G30</f>
        <v>9.9176000000000002</v>
      </c>
      <c r="I30" s="19">
        <v>0</v>
      </c>
      <c r="J30" s="19">
        <v>0</v>
      </c>
      <c r="K30" s="19">
        <v>0</v>
      </c>
      <c r="L30" s="19">
        <v>2</v>
      </c>
      <c r="M30" s="20">
        <f t="shared" ref="M30" si="10">SUM(I30:L30)</f>
        <v>2</v>
      </c>
      <c r="N30" s="95"/>
      <c r="O30" s="399"/>
      <c r="P30" s="231">
        <f t="shared" si="7"/>
        <v>5765177.5999999996</v>
      </c>
      <c r="Q30" s="87"/>
    </row>
    <row r="31" spans="1:20" ht="16.5" customHeight="1" x14ac:dyDescent="0.3">
      <c r="A31" s="54"/>
      <c r="B31" s="55"/>
      <c r="C31" s="56"/>
      <c r="D31" s="57"/>
      <c r="E31" s="47" t="s">
        <v>629</v>
      </c>
      <c r="F31" s="19">
        <v>7</v>
      </c>
      <c r="G31" s="224">
        <v>2</v>
      </c>
      <c r="H31" s="19">
        <f>F31+G31</f>
        <v>9</v>
      </c>
      <c r="I31" s="19">
        <v>0</v>
      </c>
      <c r="J31" s="19">
        <v>0</v>
      </c>
      <c r="K31" s="19">
        <v>0</v>
      </c>
      <c r="L31" s="19">
        <v>2</v>
      </c>
      <c r="M31" s="20">
        <f t="shared" si="6"/>
        <v>2</v>
      </c>
      <c r="N31" s="95"/>
      <c r="O31" s="399"/>
      <c r="P31" s="231">
        <f t="shared" si="7"/>
        <v>3952000.0000000005</v>
      </c>
      <c r="Q31" s="87"/>
    </row>
    <row r="32" spans="1:20" ht="33.75" customHeight="1" x14ac:dyDescent="0.3">
      <c r="A32" s="89"/>
      <c r="B32" s="415" t="s">
        <v>326</v>
      </c>
      <c r="C32" s="416"/>
      <c r="D32" s="138">
        <f>SUM(D25:D31)</f>
        <v>333.21999999999997</v>
      </c>
      <c r="E32" s="242"/>
      <c r="F32" s="140">
        <f t="shared" ref="F32:K32" si="11">SUM(F25:F31)</f>
        <v>76.790000000000006</v>
      </c>
      <c r="G32" s="140">
        <f t="shared" si="11"/>
        <v>17.758800000000001</v>
      </c>
      <c r="H32" s="140">
        <f t="shared" si="11"/>
        <v>94.5488</v>
      </c>
      <c r="I32" s="140">
        <f t="shared" si="11"/>
        <v>0</v>
      </c>
      <c r="J32" s="140">
        <f t="shared" si="11"/>
        <v>0</v>
      </c>
      <c r="K32" s="140">
        <f t="shared" si="11"/>
        <v>0</v>
      </c>
      <c r="L32" s="140">
        <f>SUM(L26:L31)</f>
        <v>7</v>
      </c>
      <c r="M32" s="140">
        <f>SUM(M25:M31)</f>
        <v>7</v>
      </c>
      <c r="N32" s="243"/>
      <c r="O32" s="244"/>
      <c r="P32" s="245">
        <f>SUM(P25:P31)</f>
        <v>35091388.800000004</v>
      </c>
      <c r="Q32" s="246"/>
    </row>
    <row r="33" spans="1:17" ht="14.25" customHeight="1" x14ac:dyDescent="0.3">
      <c r="A33" s="63">
        <v>3</v>
      </c>
      <c r="B33" s="64" t="s">
        <v>19</v>
      </c>
      <c r="C33" s="65"/>
      <c r="D33" s="66"/>
      <c r="E33" s="67"/>
      <c r="F33" s="82"/>
      <c r="G33" s="82"/>
      <c r="H33" s="82"/>
      <c r="I33" s="82"/>
      <c r="J33" s="82"/>
      <c r="K33" s="82"/>
      <c r="L33" s="82"/>
      <c r="M33" s="82"/>
      <c r="N33" s="69"/>
      <c r="O33" s="70"/>
      <c r="P33" s="233"/>
      <c r="Q33" s="68"/>
    </row>
    <row r="34" spans="1:17" ht="16.5" customHeight="1" x14ac:dyDescent="0.3">
      <c r="A34" s="13"/>
      <c r="B34" s="14" t="s">
        <v>57</v>
      </c>
      <c r="C34" s="15" t="s">
        <v>24</v>
      </c>
      <c r="D34" s="26">
        <f>1347+481.9+4</f>
        <v>1832.9</v>
      </c>
      <c r="E34" s="50" t="s">
        <v>52</v>
      </c>
      <c r="F34" s="19">
        <f>4%*D34</f>
        <v>73.316000000000003</v>
      </c>
      <c r="G34" s="26">
        <f>35%*D34</f>
        <v>641.51499999999999</v>
      </c>
      <c r="H34" s="26">
        <f>SUM(F34:G34)</f>
        <v>714.83100000000002</v>
      </c>
      <c r="I34" s="19">
        <v>0</v>
      </c>
      <c r="J34" s="19"/>
      <c r="K34" s="19"/>
      <c r="L34" s="19">
        <v>3</v>
      </c>
      <c r="M34" s="19">
        <f>SUM(I34:L34)</f>
        <v>3</v>
      </c>
      <c r="N34" s="35">
        <v>1</v>
      </c>
      <c r="O34" s="414" t="s">
        <v>642</v>
      </c>
      <c r="P34" s="234">
        <f t="shared" ref="P34:P63" si="12">G34*0.815*26%*3500000</f>
        <v>475779599.75</v>
      </c>
      <c r="Q34" s="16"/>
    </row>
    <row r="35" spans="1:17" ht="15" customHeight="1" x14ac:dyDescent="0.3">
      <c r="A35" s="13"/>
      <c r="B35" s="14"/>
      <c r="C35" s="15"/>
      <c r="D35" s="26"/>
      <c r="E35" s="47" t="s">
        <v>624</v>
      </c>
      <c r="F35" s="19">
        <f>5%*D34</f>
        <v>91.64500000000001</v>
      </c>
      <c r="G35" s="26">
        <f>7%*D34</f>
        <v>128.30300000000003</v>
      </c>
      <c r="H35" s="26">
        <f>F35+G35</f>
        <v>219.94800000000004</v>
      </c>
      <c r="I35" s="19">
        <v>0</v>
      </c>
      <c r="J35" s="19"/>
      <c r="K35" s="19">
        <v>0</v>
      </c>
      <c r="L35" s="19">
        <v>4</v>
      </c>
      <c r="M35" s="19">
        <f>SUM(I35:L35)</f>
        <v>4</v>
      </c>
      <c r="N35" s="35"/>
      <c r="O35" s="401"/>
      <c r="P35" s="234">
        <f t="shared" si="12"/>
        <v>95155919.950000018</v>
      </c>
      <c r="Q35" s="16"/>
    </row>
    <row r="36" spans="1:17" ht="16.5" customHeight="1" x14ac:dyDescent="0.3">
      <c r="A36" s="13"/>
      <c r="B36" s="14" t="s">
        <v>58</v>
      </c>
      <c r="C36" s="15" t="s">
        <v>25</v>
      </c>
      <c r="D36" s="26">
        <f>1378+343.2+4</f>
        <v>1725.2</v>
      </c>
      <c r="E36" s="50" t="s">
        <v>52</v>
      </c>
      <c r="F36" s="19">
        <f>3%*D36</f>
        <v>51.756</v>
      </c>
      <c r="G36" s="26">
        <f>4%*D36</f>
        <v>69.00800000000001</v>
      </c>
      <c r="H36" s="26">
        <f t="shared" ref="H36:H63" si="13">SUM(F36:G36)</f>
        <v>120.76400000000001</v>
      </c>
      <c r="I36" s="19">
        <v>0</v>
      </c>
      <c r="J36" s="19"/>
      <c r="K36" s="19">
        <v>0</v>
      </c>
      <c r="L36" s="19">
        <v>0</v>
      </c>
      <c r="M36" s="19">
        <f t="shared" ref="M36:M63" si="14">SUM(I36:L36)</f>
        <v>0</v>
      </c>
      <c r="N36" s="35"/>
      <c r="O36" s="401"/>
      <c r="P36" s="234">
        <f t="shared" si="12"/>
        <v>51179783.200000003</v>
      </c>
      <c r="Q36" s="16"/>
    </row>
    <row r="37" spans="1:17" ht="16.5" customHeight="1" x14ac:dyDescent="0.3">
      <c r="A37" s="13"/>
      <c r="B37" s="14" t="s">
        <v>59</v>
      </c>
      <c r="C37" s="15" t="s">
        <v>26</v>
      </c>
      <c r="D37" s="26">
        <f>1032+337+10</f>
        <v>1379</v>
      </c>
      <c r="E37" s="50" t="s">
        <v>52</v>
      </c>
      <c r="F37" s="19">
        <f>2%*D37</f>
        <v>27.580000000000002</v>
      </c>
      <c r="G37" s="26">
        <f>10%*D37</f>
        <v>137.9</v>
      </c>
      <c r="H37" s="26">
        <f t="shared" si="13"/>
        <v>165.48000000000002</v>
      </c>
      <c r="I37" s="19"/>
      <c r="J37" s="19"/>
      <c r="K37" s="19"/>
      <c r="L37" s="19">
        <v>4</v>
      </c>
      <c r="M37" s="19">
        <f t="shared" si="14"/>
        <v>4</v>
      </c>
      <c r="N37" s="35"/>
      <c r="O37" s="401"/>
      <c r="P37" s="234">
        <f t="shared" si="12"/>
        <v>102273535</v>
      </c>
      <c r="Q37" s="16"/>
    </row>
    <row r="38" spans="1:17" ht="16.5" customHeight="1" x14ac:dyDescent="0.3">
      <c r="A38" s="13"/>
      <c r="B38" s="14"/>
      <c r="C38" s="15"/>
      <c r="D38" s="26"/>
      <c r="E38" s="47" t="s">
        <v>624</v>
      </c>
      <c r="F38" s="19">
        <f>3%*D37</f>
        <v>41.37</v>
      </c>
      <c r="G38" s="26">
        <f>5%*D37</f>
        <v>68.95</v>
      </c>
      <c r="H38" s="26">
        <f>F38+G38</f>
        <v>110.32</v>
      </c>
      <c r="I38" s="19">
        <v>0</v>
      </c>
      <c r="J38" s="19"/>
      <c r="K38" s="19"/>
      <c r="L38" s="19">
        <v>3</v>
      </c>
      <c r="M38" s="19">
        <f>SUM(I38:L38)</f>
        <v>3</v>
      </c>
      <c r="N38" s="35"/>
      <c r="O38" s="401"/>
      <c r="P38" s="234">
        <f t="shared" si="12"/>
        <v>51136767.5</v>
      </c>
      <c r="Q38" s="16"/>
    </row>
    <row r="39" spans="1:17" ht="15" customHeight="1" x14ac:dyDescent="0.3">
      <c r="A39" s="13"/>
      <c r="B39" s="14" t="s">
        <v>60</v>
      </c>
      <c r="C39" s="15" t="s">
        <v>55</v>
      </c>
      <c r="D39" s="26">
        <f>312.6+146.93</f>
        <v>459.53000000000003</v>
      </c>
      <c r="E39" s="50" t="s">
        <v>52</v>
      </c>
      <c r="F39" s="19">
        <f>5%*D39</f>
        <v>22.976500000000001</v>
      </c>
      <c r="G39" s="26">
        <f>10%*D39</f>
        <v>45.953000000000003</v>
      </c>
      <c r="H39" s="26">
        <f t="shared" si="13"/>
        <v>68.929500000000004</v>
      </c>
      <c r="I39" s="19">
        <v>0</v>
      </c>
      <c r="J39" s="19">
        <v>0</v>
      </c>
      <c r="K39" s="19">
        <v>0</v>
      </c>
      <c r="L39" s="19">
        <v>0</v>
      </c>
      <c r="M39" s="19">
        <f t="shared" si="14"/>
        <v>0</v>
      </c>
      <c r="N39" s="35"/>
      <c r="O39" s="401"/>
      <c r="P39" s="234">
        <f t="shared" si="12"/>
        <v>34081042.450000003</v>
      </c>
      <c r="Q39" s="16"/>
    </row>
    <row r="40" spans="1:17" ht="16.5" customHeight="1" x14ac:dyDescent="0.3">
      <c r="A40" s="13"/>
      <c r="B40" s="14"/>
      <c r="C40" s="15"/>
      <c r="D40" s="26"/>
      <c r="E40" s="47" t="s">
        <v>235</v>
      </c>
      <c r="F40" s="26">
        <f>4%*D39</f>
        <v>18.381200000000003</v>
      </c>
      <c r="G40" s="26">
        <f>8%*D39</f>
        <v>36.762400000000007</v>
      </c>
      <c r="H40" s="26">
        <f>SUM(F40:G40)</f>
        <v>55.143600000000006</v>
      </c>
      <c r="I40" s="19"/>
      <c r="J40" s="19"/>
      <c r="K40" s="19"/>
      <c r="L40" s="19">
        <v>4</v>
      </c>
      <c r="M40" s="19">
        <f>SUM(I40:L40)</f>
        <v>4</v>
      </c>
      <c r="N40" s="35"/>
      <c r="O40" s="400"/>
      <c r="P40" s="234">
        <f t="shared" si="12"/>
        <v>27264833.960000001</v>
      </c>
      <c r="Q40" s="16"/>
    </row>
    <row r="41" spans="1:17" ht="15" customHeight="1" x14ac:dyDescent="0.3">
      <c r="A41" s="13"/>
      <c r="B41" s="14" t="s">
        <v>61</v>
      </c>
      <c r="C41" s="15" t="s">
        <v>27</v>
      </c>
      <c r="D41" s="26">
        <f>650.7+162.25</f>
        <v>812.95</v>
      </c>
      <c r="E41" s="50" t="s">
        <v>52</v>
      </c>
      <c r="F41" s="19">
        <f>3%*D41</f>
        <v>24.388500000000001</v>
      </c>
      <c r="G41" s="26">
        <f>25%*D41</f>
        <v>203.23750000000001</v>
      </c>
      <c r="H41" s="26">
        <f t="shared" si="13"/>
        <v>227.626</v>
      </c>
      <c r="I41" s="19">
        <v>0</v>
      </c>
      <c r="J41" s="19">
        <v>0</v>
      </c>
      <c r="K41" s="19">
        <v>0</v>
      </c>
      <c r="L41" s="19">
        <v>5</v>
      </c>
      <c r="M41" s="19">
        <f t="shared" si="14"/>
        <v>5</v>
      </c>
      <c r="N41" s="35"/>
      <c r="O41" s="36"/>
      <c r="P41" s="234">
        <f t="shared" si="12"/>
        <v>150731091.875</v>
      </c>
      <c r="Q41" s="16"/>
    </row>
    <row r="42" spans="1:17" ht="16.5" customHeight="1" x14ac:dyDescent="0.3">
      <c r="A42" s="13"/>
      <c r="B42" s="14" t="s">
        <v>62</v>
      </c>
      <c r="C42" s="15" t="s">
        <v>28</v>
      </c>
      <c r="D42" s="26">
        <f>876+634.6+5</f>
        <v>1515.6</v>
      </c>
      <c r="E42" s="50" t="s">
        <v>52</v>
      </c>
      <c r="F42" s="19">
        <f>3%*D42</f>
        <v>45.467999999999996</v>
      </c>
      <c r="G42" s="26">
        <f>10%*D42</f>
        <v>151.56</v>
      </c>
      <c r="H42" s="26">
        <f t="shared" si="13"/>
        <v>197.02799999999999</v>
      </c>
      <c r="I42" s="19">
        <v>0</v>
      </c>
      <c r="J42" s="19">
        <v>0</v>
      </c>
      <c r="K42" s="19"/>
      <c r="L42" s="19">
        <v>4</v>
      </c>
      <c r="M42" s="19">
        <f t="shared" si="14"/>
        <v>4</v>
      </c>
      <c r="N42" s="35">
        <v>2</v>
      </c>
      <c r="O42" s="399" t="s">
        <v>643</v>
      </c>
      <c r="P42" s="234">
        <f t="shared" si="12"/>
        <v>112404474</v>
      </c>
      <c r="Q42" s="16"/>
    </row>
    <row r="43" spans="1:17" ht="16.5" customHeight="1" x14ac:dyDescent="0.3">
      <c r="A43" s="13"/>
      <c r="B43" s="14" t="s">
        <v>63</v>
      </c>
      <c r="C43" s="15" t="s">
        <v>29</v>
      </c>
      <c r="D43" s="26">
        <f>1576+278.5</f>
        <v>1854.5</v>
      </c>
      <c r="E43" s="50" t="s">
        <v>52</v>
      </c>
      <c r="F43" s="19">
        <f>2%*D43</f>
        <v>37.090000000000003</v>
      </c>
      <c r="G43" s="26">
        <f>20%*D43</f>
        <v>370.90000000000003</v>
      </c>
      <c r="H43" s="26">
        <f t="shared" si="13"/>
        <v>407.99</v>
      </c>
      <c r="I43" s="19">
        <v>0</v>
      </c>
      <c r="J43" s="19">
        <v>0</v>
      </c>
      <c r="K43" s="19"/>
      <c r="L43" s="19">
        <v>4</v>
      </c>
      <c r="M43" s="19">
        <f t="shared" si="14"/>
        <v>4</v>
      </c>
      <c r="N43" s="35"/>
      <c r="O43" s="401"/>
      <c r="P43" s="234">
        <f t="shared" si="12"/>
        <v>275077985</v>
      </c>
      <c r="Q43" s="16"/>
    </row>
    <row r="44" spans="1:17" ht="13.5" customHeight="1" x14ac:dyDescent="0.3">
      <c r="A44" s="13"/>
      <c r="B44" s="14"/>
      <c r="C44" s="15"/>
      <c r="D44" s="26"/>
      <c r="E44" s="47" t="s">
        <v>234</v>
      </c>
      <c r="F44" s="19">
        <f>2%*D43</f>
        <v>37.090000000000003</v>
      </c>
      <c r="G44" s="26">
        <f>11%*D42</f>
        <v>166.71599999999998</v>
      </c>
      <c r="H44" s="26">
        <f>F44+G44</f>
        <v>203.80599999999998</v>
      </c>
      <c r="I44" s="19"/>
      <c r="J44" s="19">
        <v>0</v>
      </c>
      <c r="K44" s="19">
        <v>0</v>
      </c>
      <c r="L44" s="19">
        <v>0</v>
      </c>
      <c r="M44" s="19">
        <f t="shared" ref="M44" si="15">SUM(I44:L44)</f>
        <v>0</v>
      </c>
      <c r="N44" s="35"/>
      <c r="O44" s="401"/>
      <c r="P44" s="234">
        <f t="shared" si="12"/>
        <v>123644921.39999998</v>
      </c>
      <c r="Q44" s="16"/>
    </row>
    <row r="45" spans="1:17" ht="16.5" customHeight="1" x14ac:dyDescent="0.3">
      <c r="A45" s="13"/>
      <c r="B45" s="14" t="s">
        <v>64</v>
      </c>
      <c r="C45" s="15" t="s">
        <v>56</v>
      </c>
      <c r="D45" s="26">
        <f>274.6+53.7+42</f>
        <v>370.3</v>
      </c>
      <c r="E45" s="50" t="s">
        <v>52</v>
      </c>
      <c r="F45" s="19">
        <f>2%*D45</f>
        <v>7.4060000000000006</v>
      </c>
      <c r="G45" s="26">
        <f>10%*D45</f>
        <v>37.03</v>
      </c>
      <c r="H45" s="26">
        <f t="shared" si="13"/>
        <v>44.436</v>
      </c>
      <c r="I45" s="19">
        <v>0</v>
      </c>
      <c r="J45" s="19"/>
      <c r="K45" s="19"/>
      <c r="L45" s="19">
        <v>0</v>
      </c>
      <c r="M45" s="19">
        <f t="shared" si="14"/>
        <v>0</v>
      </c>
      <c r="N45" s="35"/>
      <c r="O45" s="401"/>
      <c r="P45" s="234">
        <f t="shared" si="12"/>
        <v>27463299.5</v>
      </c>
      <c r="Q45" s="16"/>
    </row>
    <row r="46" spans="1:17" ht="18" customHeight="1" x14ac:dyDescent="0.3">
      <c r="A46" s="13"/>
      <c r="B46" s="14" t="s">
        <v>65</v>
      </c>
      <c r="C46" s="15" t="s">
        <v>30</v>
      </c>
      <c r="D46" s="26">
        <f>1500.5+566.7</f>
        <v>2067.1999999999998</v>
      </c>
      <c r="E46" s="50" t="s">
        <v>52</v>
      </c>
      <c r="F46" s="19">
        <f>1%*D46</f>
        <v>20.671999999999997</v>
      </c>
      <c r="G46" s="26">
        <f>8%*D46</f>
        <v>165.37599999999998</v>
      </c>
      <c r="H46" s="26">
        <f t="shared" si="13"/>
        <v>186.04799999999997</v>
      </c>
      <c r="I46" s="19">
        <v>0</v>
      </c>
      <c r="J46" s="19">
        <v>0</v>
      </c>
      <c r="K46" s="19">
        <v>0</v>
      </c>
      <c r="L46" s="19">
        <v>0</v>
      </c>
      <c r="M46" s="19">
        <f t="shared" si="14"/>
        <v>0</v>
      </c>
      <c r="N46" s="35"/>
      <c r="O46" s="401"/>
      <c r="P46" s="234">
        <f t="shared" si="12"/>
        <v>122651110.39999999</v>
      </c>
      <c r="Q46" s="16"/>
    </row>
    <row r="47" spans="1:17" ht="18" customHeight="1" x14ac:dyDescent="0.3">
      <c r="A47" s="13"/>
      <c r="B47" s="14"/>
      <c r="C47" s="15"/>
      <c r="D47" s="26"/>
      <c r="E47" s="47" t="s">
        <v>624</v>
      </c>
      <c r="F47" s="19">
        <f>5%*D46</f>
        <v>103.36</v>
      </c>
      <c r="G47" s="26">
        <f>11%*D46</f>
        <v>227.39199999999997</v>
      </c>
      <c r="H47" s="26">
        <f>F47+G47</f>
        <v>330.75199999999995</v>
      </c>
      <c r="I47" s="19">
        <v>0</v>
      </c>
      <c r="J47" s="19"/>
      <c r="K47" s="19"/>
      <c r="L47" s="19">
        <v>3</v>
      </c>
      <c r="M47" s="19">
        <f>SUM(I47:L47)</f>
        <v>3</v>
      </c>
      <c r="N47" s="35"/>
      <c r="O47" s="401"/>
      <c r="P47" s="234">
        <f t="shared" si="12"/>
        <v>168645276.79999995</v>
      </c>
      <c r="Q47" s="16"/>
    </row>
    <row r="48" spans="1:17" ht="18.75" customHeight="1" x14ac:dyDescent="0.3">
      <c r="A48" s="13"/>
      <c r="B48" s="14" t="s">
        <v>66</v>
      </c>
      <c r="C48" s="15" t="s">
        <v>31</v>
      </c>
      <c r="D48" s="26">
        <f>1214.5+386.5</f>
        <v>1601</v>
      </c>
      <c r="E48" s="50" t="s">
        <v>52</v>
      </c>
      <c r="F48" s="19">
        <f>2%*D48</f>
        <v>32.020000000000003</v>
      </c>
      <c r="G48" s="26">
        <f>12%*D48</f>
        <v>192.12</v>
      </c>
      <c r="H48" s="26">
        <f t="shared" si="13"/>
        <v>224.14000000000001</v>
      </c>
      <c r="I48" s="19">
        <v>0</v>
      </c>
      <c r="J48" s="19">
        <v>0</v>
      </c>
      <c r="K48" s="19">
        <v>0</v>
      </c>
      <c r="L48" s="19">
        <v>0</v>
      </c>
      <c r="M48" s="19">
        <f t="shared" si="14"/>
        <v>0</v>
      </c>
      <c r="N48" s="35"/>
      <c r="O48" s="401"/>
      <c r="P48" s="234">
        <f t="shared" si="12"/>
        <v>142485798</v>
      </c>
      <c r="Q48" s="16"/>
    </row>
    <row r="49" spans="1:17" ht="16.5" customHeight="1" x14ac:dyDescent="0.3">
      <c r="A49" s="13"/>
      <c r="B49" s="14" t="s">
        <v>67</v>
      </c>
      <c r="C49" s="15" t="s">
        <v>32</v>
      </c>
      <c r="D49" s="26">
        <f>998.9+79.5</f>
        <v>1078.4000000000001</v>
      </c>
      <c r="E49" s="50" t="s">
        <v>52</v>
      </c>
      <c r="F49" s="19">
        <f>2%*D49</f>
        <v>21.568000000000001</v>
      </c>
      <c r="G49" s="26">
        <f>11%*D49</f>
        <v>118.62400000000001</v>
      </c>
      <c r="H49" s="26">
        <f t="shared" si="13"/>
        <v>140.19200000000001</v>
      </c>
      <c r="I49" s="19">
        <v>0</v>
      </c>
      <c r="J49" s="19">
        <v>0</v>
      </c>
      <c r="K49" s="19">
        <v>0</v>
      </c>
      <c r="L49" s="19">
        <v>0</v>
      </c>
      <c r="M49" s="19">
        <f t="shared" si="14"/>
        <v>0</v>
      </c>
      <c r="N49" s="35"/>
      <c r="O49" s="401"/>
      <c r="P49" s="234">
        <f t="shared" si="12"/>
        <v>87977489.600000009</v>
      </c>
      <c r="Q49" s="16"/>
    </row>
    <row r="50" spans="1:17" ht="18.75" customHeight="1" x14ac:dyDescent="0.3">
      <c r="A50" s="13"/>
      <c r="B50" s="14" t="s">
        <v>68</v>
      </c>
      <c r="C50" s="15" t="s">
        <v>33</v>
      </c>
      <c r="D50" s="26">
        <f>1314+57.5</f>
        <v>1371.5</v>
      </c>
      <c r="E50" s="50" t="s">
        <v>52</v>
      </c>
      <c r="F50" s="19">
        <f>2%*D50</f>
        <v>27.43</v>
      </c>
      <c r="G50" s="26">
        <f>8%*D50</f>
        <v>109.72</v>
      </c>
      <c r="H50" s="26">
        <f t="shared" si="13"/>
        <v>137.15</v>
      </c>
      <c r="I50" s="19">
        <v>0</v>
      </c>
      <c r="J50" s="19"/>
      <c r="K50" s="19">
        <v>0</v>
      </c>
      <c r="L50" s="19">
        <v>0</v>
      </c>
      <c r="M50" s="19">
        <f t="shared" si="14"/>
        <v>0</v>
      </c>
      <c r="N50" s="35"/>
      <c r="O50" s="401"/>
      <c r="P50" s="234">
        <f t="shared" si="12"/>
        <v>81373838</v>
      </c>
      <c r="Q50" s="16"/>
    </row>
    <row r="51" spans="1:17" ht="16.5" customHeight="1" x14ac:dyDescent="0.3">
      <c r="A51" s="13"/>
      <c r="B51" s="14" t="s">
        <v>69</v>
      </c>
      <c r="C51" s="15" t="s">
        <v>34</v>
      </c>
      <c r="D51" s="26">
        <f>1892.1+376</f>
        <v>2268.1</v>
      </c>
      <c r="E51" s="50" t="s">
        <v>52</v>
      </c>
      <c r="F51" s="19">
        <f>0.5%*D51</f>
        <v>11.3405</v>
      </c>
      <c r="G51" s="26">
        <f>22%*D51</f>
        <v>498.98199999999997</v>
      </c>
      <c r="H51" s="26">
        <f t="shared" si="13"/>
        <v>510.32249999999999</v>
      </c>
      <c r="I51" s="19">
        <v>0</v>
      </c>
      <c r="J51" s="19"/>
      <c r="K51" s="19"/>
      <c r="L51" s="19">
        <v>5</v>
      </c>
      <c r="M51" s="19">
        <f t="shared" si="14"/>
        <v>5</v>
      </c>
      <c r="N51" s="35"/>
      <c r="O51" s="401"/>
      <c r="P51" s="234">
        <f t="shared" si="12"/>
        <v>370070000.29999995</v>
      </c>
      <c r="Q51" s="16"/>
    </row>
    <row r="52" spans="1:17" ht="16.5" customHeight="1" x14ac:dyDescent="0.3">
      <c r="A52" s="13"/>
      <c r="B52" s="14" t="s">
        <v>70</v>
      </c>
      <c r="C52" s="15" t="s">
        <v>35</v>
      </c>
      <c r="D52" s="26">
        <f>1558+185.25</f>
        <v>1743.25</v>
      </c>
      <c r="E52" s="50" t="s">
        <v>52</v>
      </c>
      <c r="F52" s="19">
        <f t="shared" ref="F52:F57" si="16">1%*D52</f>
        <v>17.432500000000001</v>
      </c>
      <c r="G52" s="26">
        <f>10%*D52</f>
        <v>174.32500000000002</v>
      </c>
      <c r="H52" s="26">
        <f t="shared" si="13"/>
        <v>191.75750000000002</v>
      </c>
      <c r="I52" s="19">
        <v>0</v>
      </c>
      <c r="J52" s="19">
        <v>0</v>
      </c>
      <c r="K52" s="19">
        <v>0</v>
      </c>
      <c r="L52" s="19">
        <v>0</v>
      </c>
      <c r="M52" s="19">
        <f t="shared" si="14"/>
        <v>0</v>
      </c>
      <c r="N52" s="35"/>
      <c r="O52" s="401"/>
      <c r="P52" s="234">
        <f t="shared" si="12"/>
        <v>129288136.25</v>
      </c>
      <c r="Q52" s="16"/>
    </row>
    <row r="53" spans="1:17" ht="17.25" customHeight="1" x14ac:dyDescent="0.3">
      <c r="A53" s="13"/>
      <c r="B53" s="14" t="s">
        <v>71</v>
      </c>
      <c r="C53" s="15" t="s">
        <v>21</v>
      </c>
      <c r="D53" s="26">
        <f>1972+130</f>
        <v>2102</v>
      </c>
      <c r="E53" s="50" t="s">
        <v>52</v>
      </c>
      <c r="F53" s="19">
        <f t="shared" si="16"/>
        <v>21.02</v>
      </c>
      <c r="G53" s="26">
        <f>10%*D53</f>
        <v>210.20000000000002</v>
      </c>
      <c r="H53" s="26">
        <f t="shared" si="13"/>
        <v>231.22000000000003</v>
      </c>
      <c r="I53" s="19">
        <v>0</v>
      </c>
      <c r="J53" s="19">
        <v>0</v>
      </c>
      <c r="K53" s="19">
        <v>0</v>
      </c>
      <c r="L53" s="19">
        <v>0</v>
      </c>
      <c r="M53" s="19">
        <f t="shared" si="14"/>
        <v>0</v>
      </c>
      <c r="N53" s="35"/>
      <c r="O53" s="401"/>
      <c r="P53" s="234">
        <f t="shared" si="12"/>
        <v>155894830</v>
      </c>
      <c r="Q53" s="16"/>
    </row>
    <row r="54" spans="1:17" ht="22.5" customHeight="1" x14ac:dyDescent="0.3">
      <c r="A54" s="13"/>
      <c r="B54" s="14" t="s">
        <v>72</v>
      </c>
      <c r="C54" s="15" t="s">
        <v>42</v>
      </c>
      <c r="D54" s="26">
        <f>773.1+303.8</f>
        <v>1076.9000000000001</v>
      </c>
      <c r="E54" s="50" t="s">
        <v>52</v>
      </c>
      <c r="F54" s="19">
        <f>2%*D54</f>
        <v>21.538000000000004</v>
      </c>
      <c r="G54" s="26">
        <f>10%*D54</f>
        <v>107.69000000000001</v>
      </c>
      <c r="H54" s="26">
        <f t="shared" si="13"/>
        <v>129.22800000000001</v>
      </c>
      <c r="I54" s="19">
        <v>0</v>
      </c>
      <c r="J54" s="19">
        <v>0</v>
      </c>
      <c r="K54" s="19">
        <v>0</v>
      </c>
      <c r="L54" s="19">
        <v>3</v>
      </c>
      <c r="M54" s="19">
        <f t="shared" si="14"/>
        <v>3</v>
      </c>
      <c r="N54" s="35"/>
      <c r="O54" s="400"/>
      <c r="P54" s="234">
        <f t="shared" si="12"/>
        <v>79868288.5</v>
      </c>
      <c r="Q54" s="16"/>
    </row>
    <row r="55" spans="1:17" ht="16.5" customHeight="1" x14ac:dyDescent="0.3">
      <c r="A55" s="13"/>
      <c r="B55" s="14" t="s">
        <v>73</v>
      </c>
      <c r="C55" s="15" t="s">
        <v>105</v>
      </c>
      <c r="D55" s="26">
        <f>153.8+8.7</f>
        <v>162.5</v>
      </c>
      <c r="E55" s="50" t="s">
        <v>52</v>
      </c>
      <c r="F55" s="19">
        <f>2%*D55</f>
        <v>3.25</v>
      </c>
      <c r="G55" s="26">
        <f>10%*D55</f>
        <v>16.25</v>
      </c>
      <c r="H55" s="26">
        <f t="shared" si="13"/>
        <v>19.5</v>
      </c>
      <c r="I55" s="19">
        <v>0</v>
      </c>
      <c r="J55" s="19">
        <v>0</v>
      </c>
      <c r="K55" s="19">
        <v>0</v>
      </c>
      <c r="L55" s="19">
        <v>6</v>
      </c>
      <c r="M55" s="19">
        <f t="shared" si="14"/>
        <v>6</v>
      </c>
      <c r="N55" s="35"/>
      <c r="O55" s="36"/>
      <c r="P55" s="234">
        <f t="shared" si="12"/>
        <v>12051812.499999998</v>
      </c>
      <c r="Q55" s="16"/>
    </row>
    <row r="56" spans="1:17" ht="16.5" customHeight="1" x14ac:dyDescent="0.3">
      <c r="A56" s="13"/>
      <c r="B56" s="14" t="s">
        <v>74</v>
      </c>
      <c r="C56" s="15" t="s">
        <v>110</v>
      </c>
      <c r="D56" s="26">
        <f>695+48.2</f>
        <v>743.2</v>
      </c>
      <c r="E56" s="50" t="s">
        <v>52</v>
      </c>
      <c r="F56" s="19">
        <f t="shared" si="16"/>
        <v>7.4320000000000004</v>
      </c>
      <c r="G56" s="26">
        <f>10%*D56</f>
        <v>74.320000000000007</v>
      </c>
      <c r="H56" s="26">
        <f t="shared" si="13"/>
        <v>81.75200000000001</v>
      </c>
      <c r="I56" s="19">
        <v>0</v>
      </c>
      <c r="J56" s="19">
        <v>0</v>
      </c>
      <c r="K56" s="19">
        <v>0</v>
      </c>
      <c r="L56" s="19">
        <v>0</v>
      </c>
      <c r="M56" s="19">
        <f t="shared" si="14"/>
        <v>0</v>
      </c>
      <c r="N56" s="35">
        <v>3</v>
      </c>
      <c r="O56" s="399" t="s">
        <v>644</v>
      </c>
      <c r="P56" s="234">
        <f t="shared" si="12"/>
        <v>55119428.000000007</v>
      </c>
      <c r="Q56" s="16"/>
    </row>
    <row r="57" spans="1:17" ht="16.5" customHeight="1" x14ac:dyDescent="0.3">
      <c r="A57" s="13"/>
      <c r="B57" s="14" t="s">
        <v>75</v>
      </c>
      <c r="C57" s="15" t="s">
        <v>112</v>
      </c>
      <c r="D57" s="26">
        <f>375+14</f>
        <v>389</v>
      </c>
      <c r="E57" s="50" t="s">
        <v>52</v>
      </c>
      <c r="F57" s="19">
        <f t="shared" si="16"/>
        <v>3.89</v>
      </c>
      <c r="G57" s="26">
        <f>11%*D57</f>
        <v>42.79</v>
      </c>
      <c r="H57" s="26">
        <f t="shared" si="13"/>
        <v>46.68</v>
      </c>
      <c r="I57" s="19">
        <v>0</v>
      </c>
      <c r="J57" s="19">
        <v>0</v>
      </c>
      <c r="K57" s="19">
        <v>0</v>
      </c>
      <c r="L57" s="19">
        <v>0</v>
      </c>
      <c r="M57" s="19">
        <f t="shared" si="14"/>
        <v>0</v>
      </c>
      <c r="N57" s="35"/>
      <c r="O57" s="401"/>
      <c r="P57" s="234">
        <f t="shared" si="12"/>
        <v>31735203.499999996</v>
      </c>
      <c r="Q57" s="16"/>
    </row>
    <row r="58" spans="1:17" ht="16.5" customHeight="1" x14ac:dyDescent="0.3">
      <c r="A58" s="13"/>
      <c r="B58" s="14" t="s">
        <v>104</v>
      </c>
      <c r="C58" s="15" t="s">
        <v>114</v>
      </c>
      <c r="D58" s="26">
        <f>73.5</f>
        <v>73.5</v>
      </c>
      <c r="E58" s="50" t="s">
        <v>52</v>
      </c>
      <c r="F58" s="19">
        <f>3%*D58</f>
        <v>2.2050000000000001</v>
      </c>
      <c r="G58" s="26">
        <f>10%*D58</f>
        <v>7.3500000000000005</v>
      </c>
      <c r="H58" s="26">
        <f t="shared" si="13"/>
        <v>9.5549999999999997</v>
      </c>
      <c r="I58" s="19">
        <v>0</v>
      </c>
      <c r="J58" s="19">
        <v>0</v>
      </c>
      <c r="K58" s="19">
        <v>0</v>
      </c>
      <c r="L58" s="19">
        <v>0</v>
      </c>
      <c r="M58" s="19">
        <f t="shared" si="14"/>
        <v>0</v>
      </c>
      <c r="N58" s="35"/>
      <c r="O58" s="401"/>
      <c r="P58" s="234">
        <f t="shared" si="12"/>
        <v>5451127.5</v>
      </c>
      <c r="Q58" s="16"/>
    </row>
    <row r="59" spans="1:17" ht="16.5" customHeight="1" x14ac:dyDescent="0.3">
      <c r="A59" s="13"/>
      <c r="B59" s="14" t="s">
        <v>106</v>
      </c>
      <c r="C59" s="15" t="s">
        <v>22</v>
      </c>
      <c r="D59" s="26">
        <f>1184.3+105</f>
        <v>1289.3</v>
      </c>
      <c r="E59" s="50" t="s">
        <v>52</v>
      </c>
      <c r="F59" s="19">
        <f>4%*D59</f>
        <v>51.572000000000003</v>
      </c>
      <c r="G59" s="26">
        <f>9%*D59</f>
        <v>116.03699999999999</v>
      </c>
      <c r="H59" s="26">
        <f t="shared" si="13"/>
        <v>167.60899999999998</v>
      </c>
      <c r="I59" s="19">
        <v>0</v>
      </c>
      <c r="J59" s="19">
        <v>0</v>
      </c>
      <c r="K59" s="19"/>
      <c r="L59" s="19">
        <v>0</v>
      </c>
      <c r="M59" s="19">
        <f t="shared" si="14"/>
        <v>0</v>
      </c>
      <c r="N59" s="35"/>
      <c r="O59" s="401"/>
      <c r="P59" s="234">
        <f t="shared" si="12"/>
        <v>86058841.049999982</v>
      </c>
      <c r="Q59" s="16"/>
    </row>
    <row r="60" spans="1:17" ht="14.25" customHeight="1" x14ac:dyDescent="0.3">
      <c r="A60" s="13"/>
      <c r="B60" s="14" t="s">
        <v>108</v>
      </c>
      <c r="C60" s="15" t="s">
        <v>180</v>
      </c>
      <c r="D60" s="26">
        <f>134.8+5</f>
        <v>139.80000000000001</v>
      </c>
      <c r="E60" s="47" t="s">
        <v>52</v>
      </c>
      <c r="F60" s="19">
        <f>4%*D60</f>
        <v>5.5920000000000005</v>
      </c>
      <c r="G60" s="26">
        <f>12%*D60</f>
        <v>16.776</v>
      </c>
      <c r="H60" s="26">
        <f t="shared" si="13"/>
        <v>22.368000000000002</v>
      </c>
      <c r="I60" s="19">
        <v>0</v>
      </c>
      <c r="J60" s="19">
        <v>0</v>
      </c>
      <c r="K60" s="19">
        <v>0</v>
      </c>
      <c r="L60" s="19">
        <v>5</v>
      </c>
      <c r="M60" s="19">
        <f t="shared" si="14"/>
        <v>5</v>
      </c>
      <c r="N60" s="35"/>
      <c r="O60" s="401"/>
      <c r="P60" s="234">
        <f t="shared" si="12"/>
        <v>12441920.399999999</v>
      </c>
      <c r="Q60" s="16"/>
    </row>
    <row r="61" spans="1:17" ht="16.5" customHeight="1" x14ac:dyDescent="0.3">
      <c r="A61" s="13"/>
      <c r="B61" s="14" t="s">
        <v>109</v>
      </c>
      <c r="C61" s="15" t="s">
        <v>43</v>
      </c>
      <c r="D61" s="26">
        <f>1195+218.6</f>
        <v>1413.6</v>
      </c>
      <c r="E61" s="50" t="s">
        <v>52</v>
      </c>
      <c r="F61" s="19">
        <f>3%*D61</f>
        <v>42.407999999999994</v>
      </c>
      <c r="G61" s="26">
        <f>15%*D61</f>
        <v>212.04</v>
      </c>
      <c r="H61" s="26">
        <f t="shared" si="13"/>
        <v>254.44799999999998</v>
      </c>
      <c r="I61" s="19">
        <v>0</v>
      </c>
      <c r="J61" s="19">
        <v>0</v>
      </c>
      <c r="K61" s="19">
        <v>0</v>
      </c>
      <c r="L61" s="19">
        <v>0</v>
      </c>
      <c r="M61" s="19">
        <f t="shared" si="14"/>
        <v>0</v>
      </c>
      <c r="N61" s="35"/>
      <c r="O61" s="400"/>
      <c r="P61" s="234">
        <f t="shared" si="12"/>
        <v>157259466</v>
      </c>
      <c r="Q61" s="16"/>
    </row>
    <row r="62" spans="1:17" ht="15.75" customHeight="1" x14ac:dyDescent="0.3">
      <c r="A62" s="13"/>
      <c r="B62" s="55" t="s">
        <v>111</v>
      </c>
      <c r="C62" s="56" t="s">
        <v>44</v>
      </c>
      <c r="D62" s="57">
        <f>1400.35+129.1</f>
        <v>1529.4499999999998</v>
      </c>
      <c r="E62" s="78" t="s">
        <v>52</v>
      </c>
      <c r="F62" s="19">
        <f>5%*D62</f>
        <v>76.472499999999997</v>
      </c>
      <c r="G62" s="26">
        <f>9%*D62</f>
        <v>137.65049999999997</v>
      </c>
      <c r="H62" s="26">
        <f t="shared" si="13"/>
        <v>214.12299999999996</v>
      </c>
      <c r="I62" s="19">
        <v>0</v>
      </c>
      <c r="J62" s="19">
        <v>0</v>
      </c>
      <c r="K62" s="19">
        <v>0</v>
      </c>
      <c r="L62" s="19">
        <v>6</v>
      </c>
      <c r="M62" s="19">
        <f t="shared" si="14"/>
        <v>6</v>
      </c>
      <c r="N62" s="35"/>
      <c r="O62" s="36"/>
      <c r="P62" s="234">
        <f t="shared" si="12"/>
        <v>102088493.32499997</v>
      </c>
      <c r="Q62" s="16"/>
    </row>
    <row r="63" spans="1:17" ht="16.5" customHeight="1" x14ac:dyDescent="0.3">
      <c r="A63" s="13"/>
      <c r="B63" s="14" t="s">
        <v>74</v>
      </c>
      <c r="C63" s="15" t="s">
        <v>43</v>
      </c>
      <c r="D63" s="26">
        <v>1189</v>
      </c>
      <c r="E63" s="50" t="s">
        <v>52</v>
      </c>
      <c r="F63" s="19">
        <f>1%*D63</f>
        <v>11.89</v>
      </c>
      <c r="G63" s="26">
        <f>10%*D63</f>
        <v>118.9</v>
      </c>
      <c r="H63" s="26">
        <f t="shared" si="13"/>
        <v>130.79000000000002</v>
      </c>
      <c r="I63" s="19">
        <v>0</v>
      </c>
      <c r="J63" s="19"/>
      <c r="K63" s="19"/>
      <c r="L63" s="19">
        <v>4</v>
      </c>
      <c r="M63" s="19">
        <f t="shared" si="14"/>
        <v>4</v>
      </c>
      <c r="N63" s="35"/>
      <c r="O63" s="36"/>
      <c r="P63" s="234">
        <f t="shared" si="12"/>
        <v>88182185</v>
      </c>
      <c r="Q63" s="16"/>
    </row>
    <row r="64" spans="1:17" ht="18.75" customHeight="1" x14ac:dyDescent="0.3">
      <c r="A64" s="89"/>
      <c r="B64" s="72" t="s">
        <v>347</v>
      </c>
      <c r="C64" s="72"/>
      <c r="D64" s="84">
        <f>SUM(D34:D63)</f>
        <v>30187.68</v>
      </c>
      <c r="E64" s="74"/>
      <c r="F64" s="83">
        <f>SUM(F41:F63)</f>
        <v>632.53499999999985</v>
      </c>
      <c r="G64" s="83">
        <f t="shared" ref="G64:M64" si="17">SUM(G34:G63)</f>
        <v>4604.3773999999985</v>
      </c>
      <c r="H64" s="83">
        <f t="shared" si="17"/>
        <v>5563.9371000000019</v>
      </c>
      <c r="I64" s="83">
        <f t="shared" si="17"/>
        <v>0</v>
      </c>
      <c r="J64" s="83">
        <f t="shared" si="17"/>
        <v>0</v>
      </c>
      <c r="K64" s="83">
        <f t="shared" si="17"/>
        <v>0</v>
      </c>
      <c r="L64" s="83">
        <f t="shared" si="17"/>
        <v>63</v>
      </c>
      <c r="M64" s="83">
        <f t="shared" si="17"/>
        <v>63</v>
      </c>
      <c r="N64" s="76"/>
      <c r="O64" s="77"/>
      <c r="P64" s="184">
        <f>SUM(P34:P63)</f>
        <v>3414836498.71</v>
      </c>
      <c r="Q64" s="75"/>
    </row>
    <row r="65" spans="1:20" ht="13.5" customHeight="1" x14ac:dyDescent="0.3">
      <c r="A65" s="63">
        <v>4</v>
      </c>
      <c r="B65" s="64" t="s">
        <v>46</v>
      </c>
      <c r="C65" s="65"/>
      <c r="D65" s="66"/>
      <c r="E65" s="67"/>
      <c r="F65" s="82"/>
      <c r="G65" s="82"/>
      <c r="H65" s="82"/>
      <c r="I65" s="82"/>
      <c r="J65" s="82"/>
      <c r="K65" s="82"/>
      <c r="L65" s="82"/>
      <c r="M65" s="82"/>
      <c r="N65" s="69"/>
      <c r="O65" s="70"/>
      <c r="P65" s="233"/>
      <c r="Q65" s="68"/>
    </row>
    <row r="66" spans="1:20" ht="18.75" customHeight="1" x14ac:dyDescent="0.3">
      <c r="A66" s="102"/>
      <c r="B66" s="98" t="s">
        <v>57</v>
      </c>
      <c r="C66" s="99" t="s">
        <v>29</v>
      </c>
      <c r="D66" s="96">
        <v>175</v>
      </c>
      <c r="E66" s="101" t="s">
        <v>645</v>
      </c>
      <c r="F66" s="96">
        <f>5%*D66</f>
        <v>8.75</v>
      </c>
      <c r="G66" s="96">
        <f>3%*D66</f>
        <v>5.25</v>
      </c>
      <c r="H66" s="96">
        <f>SUM(F66:G66)</f>
        <v>14</v>
      </c>
      <c r="I66" s="97">
        <v>0</v>
      </c>
      <c r="J66" s="97"/>
      <c r="K66" s="97"/>
      <c r="L66" s="97">
        <v>2</v>
      </c>
      <c r="M66" s="97">
        <f t="shared" ref="M66:M74" si="18">SUM(I66:L66)</f>
        <v>2</v>
      </c>
      <c r="N66" s="35" t="s">
        <v>51</v>
      </c>
      <c r="O66" s="36" t="s">
        <v>229</v>
      </c>
      <c r="P66" s="234">
        <f>G66*1.036*20%*8000000</f>
        <v>8702400</v>
      </c>
      <c r="Q66" s="16"/>
    </row>
    <row r="67" spans="1:20" ht="16.5" customHeight="1" x14ac:dyDescent="0.3">
      <c r="A67" s="13"/>
      <c r="B67" s="14" t="s">
        <v>58</v>
      </c>
      <c r="C67" s="15" t="s">
        <v>33</v>
      </c>
      <c r="D67" s="26">
        <v>368</v>
      </c>
      <c r="E67" s="47" t="s">
        <v>185</v>
      </c>
      <c r="F67" s="26">
        <f>5%*D67</f>
        <v>18.400000000000002</v>
      </c>
      <c r="G67" s="26">
        <f>9%*D67</f>
        <v>33.119999999999997</v>
      </c>
      <c r="H67" s="26">
        <f t="shared" ref="H67:H74" si="19">SUM(F67:G67)</f>
        <v>51.519999999999996</v>
      </c>
      <c r="I67" s="19">
        <v>0</v>
      </c>
      <c r="J67" s="19"/>
      <c r="K67" s="19">
        <v>0</v>
      </c>
      <c r="L67" s="19">
        <v>5</v>
      </c>
      <c r="M67" s="19">
        <f t="shared" si="18"/>
        <v>5</v>
      </c>
      <c r="N67" s="35" t="s">
        <v>51</v>
      </c>
      <c r="O67" s="36" t="s">
        <v>138</v>
      </c>
      <c r="P67" s="234">
        <f>G67*1.036*20%*8000000</f>
        <v>54899712</v>
      </c>
      <c r="Q67" s="16"/>
    </row>
    <row r="68" spans="1:20" ht="17.25" customHeight="1" x14ac:dyDescent="0.3">
      <c r="A68" s="13"/>
      <c r="B68" s="98" t="s">
        <v>59</v>
      </c>
      <c r="C68" s="99" t="s">
        <v>42</v>
      </c>
      <c r="D68" s="96">
        <v>774.98</v>
      </c>
      <c r="E68" s="101" t="s">
        <v>645</v>
      </c>
      <c r="F68" s="96">
        <f>5%*D68</f>
        <v>38.749000000000002</v>
      </c>
      <c r="G68" s="97">
        <f>10%*D68</f>
        <v>77.498000000000005</v>
      </c>
      <c r="H68" s="96">
        <f t="shared" si="19"/>
        <v>116.24700000000001</v>
      </c>
      <c r="I68" s="97">
        <v>0</v>
      </c>
      <c r="J68" s="97"/>
      <c r="K68" s="97">
        <v>0</v>
      </c>
      <c r="L68" s="97">
        <v>5</v>
      </c>
      <c r="M68" s="97">
        <f t="shared" si="18"/>
        <v>5</v>
      </c>
      <c r="N68" s="35"/>
      <c r="O68" s="36"/>
      <c r="P68" s="234">
        <f>G68*1.036*20%*8000000</f>
        <v>128460684.80000003</v>
      </c>
      <c r="Q68" s="16"/>
    </row>
    <row r="69" spans="1:20" ht="18.75" customHeight="1" x14ac:dyDescent="0.3">
      <c r="A69" s="13"/>
      <c r="B69" s="98" t="s">
        <v>60</v>
      </c>
      <c r="C69" s="99" t="s">
        <v>21</v>
      </c>
      <c r="D69" s="96">
        <v>949.55</v>
      </c>
      <c r="E69" s="101" t="s">
        <v>645</v>
      </c>
      <c r="F69" s="96">
        <f>3%*D69</f>
        <v>28.486499999999996</v>
      </c>
      <c r="G69" s="97">
        <f>4%*D69</f>
        <v>37.981999999999999</v>
      </c>
      <c r="H69" s="96">
        <f t="shared" si="19"/>
        <v>66.468499999999992</v>
      </c>
      <c r="I69" s="97">
        <v>0</v>
      </c>
      <c r="J69" s="97"/>
      <c r="K69" s="97">
        <v>0</v>
      </c>
      <c r="L69" s="97">
        <v>3</v>
      </c>
      <c r="M69" s="97">
        <f t="shared" si="18"/>
        <v>3</v>
      </c>
      <c r="N69" s="35"/>
      <c r="O69" s="36"/>
      <c r="P69" s="234">
        <f t="shared" ref="P69:P71" si="20">G69*1.036*20%*8500000</f>
        <v>66893898.400000006</v>
      </c>
      <c r="Q69" s="16"/>
      <c r="S69" s="1" t="s">
        <v>641</v>
      </c>
    </row>
    <row r="70" spans="1:20" ht="12.75" customHeight="1" x14ac:dyDescent="0.3">
      <c r="A70" s="13"/>
      <c r="B70" s="98"/>
      <c r="C70" s="99"/>
      <c r="D70" s="96"/>
      <c r="E70" s="47" t="s">
        <v>185</v>
      </c>
      <c r="F70" s="96">
        <f>12%*D69</f>
        <v>113.94599999999998</v>
      </c>
      <c r="G70" s="96">
        <f>3%*D69</f>
        <v>28.486499999999996</v>
      </c>
      <c r="H70" s="96">
        <f>SUM(F70:G70)</f>
        <v>142.43249999999998</v>
      </c>
      <c r="I70" s="19">
        <v>0</v>
      </c>
      <c r="J70" s="19">
        <v>0</v>
      </c>
      <c r="K70" s="19">
        <v>0</v>
      </c>
      <c r="L70" s="19">
        <v>2</v>
      </c>
      <c r="M70" s="19">
        <f t="shared" si="18"/>
        <v>2</v>
      </c>
      <c r="N70" s="35"/>
      <c r="O70" s="36"/>
      <c r="P70" s="234">
        <f t="shared" si="20"/>
        <v>50170423.799999997</v>
      </c>
      <c r="Q70" s="16"/>
    </row>
    <row r="71" spans="1:20" ht="18.75" customHeight="1" x14ac:dyDescent="0.3">
      <c r="A71" s="16"/>
      <c r="B71" s="14" t="s">
        <v>61</v>
      </c>
      <c r="C71" s="15" t="s">
        <v>22</v>
      </c>
      <c r="D71" s="26">
        <v>1223.55</v>
      </c>
      <c r="E71" s="101" t="s">
        <v>645</v>
      </c>
      <c r="F71" s="26">
        <f>2%*D71</f>
        <v>24.471</v>
      </c>
      <c r="G71" s="19">
        <f>4%*D71</f>
        <v>48.942</v>
      </c>
      <c r="H71" s="26">
        <f t="shared" si="19"/>
        <v>73.412999999999997</v>
      </c>
      <c r="I71" s="19">
        <v>0</v>
      </c>
      <c r="J71" s="19"/>
      <c r="K71" s="19"/>
      <c r="L71" s="19">
        <v>3</v>
      </c>
      <c r="M71" s="19">
        <f t="shared" si="18"/>
        <v>3</v>
      </c>
      <c r="N71" s="35"/>
      <c r="O71" s="36"/>
      <c r="P71" s="234">
        <f t="shared" si="20"/>
        <v>86196650.400000006</v>
      </c>
      <c r="Q71" s="16"/>
    </row>
    <row r="72" spans="1:20" ht="16.5" customHeight="1" x14ac:dyDescent="0.3">
      <c r="A72" s="87"/>
      <c r="B72" s="55" t="s">
        <v>62</v>
      </c>
      <c r="C72" s="56" t="s">
        <v>43</v>
      </c>
      <c r="D72" s="57">
        <v>133</v>
      </c>
      <c r="E72" s="101" t="s">
        <v>645</v>
      </c>
      <c r="F72" s="19">
        <f>3%*D72</f>
        <v>3.9899999999999998</v>
      </c>
      <c r="G72" s="19">
        <f>1%*D72</f>
        <v>1.33</v>
      </c>
      <c r="H72" s="26">
        <f t="shared" si="19"/>
        <v>5.32</v>
      </c>
      <c r="I72" s="19">
        <v>0</v>
      </c>
      <c r="J72" s="19"/>
      <c r="K72" s="19">
        <v>0</v>
      </c>
      <c r="L72" s="19">
        <v>2</v>
      </c>
      <c r="M72" s="19">
        <f t="shared" si="18"/>
        <v>2</v>
      </c>
      <c r="N72" s="35"/>
      <c r="O72" s="36"/>
      <c r="P72" s="234">
        <f>G72*1.036*20%*8000000</f>
        <v>2204608.0000000005</v>
      </c>
      <c r="Q72" s="16"/>
    </row>
    <row r="73" spans="1:20" ht="17.25" customHeight="1" x14ac:dyDescent="0.3">
      <c r="A73" s="87"/>
      <c r="B73" s="14" t="s">
        <v>63</v>
      </c>
      <c r="C73" s="15" t="s">
        <v>44</v>
      </c>
      <c r="D73" s="26">
        <v>324.64999999999998</v>
      </c>
      <c r="E73" s="101" t="s">
        <v>645</v>
      </c>
      <c r="F73" s="135">
        <f>2%*D73</f>
        <v>6.4929999999999994</v>
      </c>
      <c r="G73" s="19">
        <f>2%*D73</f>
        <v>6.4929999999999994</v>
      </c>
      <c r="H73" s="26">
        <f t="shared" si="19"/>
        <v>12.985999999999999</v>
      </c>
      <c r="I73" s="135">
        <v>0</v>
      </c>
      <c r="J73" s="135"/>
      <c r="K73" s="135">
        <v>0</v>
      </c>
      <c r="L73" s="135">
        <v>2</v>
      </c>
      <c r="M73" s="135">
        <f t="shared" ref="M73" si="21">SUM(I73:L73)</f>
        <v>2</v>
      </c>
      <c r="N73" s="80"/>
      <c r="O73" s="81"/>
      <c r="P73" s="234">
        <f>G73*1.036*20%*8000000</f>
        <v>10762796.800000001</v>
      </c>
      <c r="Q73" s="87"/>
    </row>
    <row r="74" spans="1:20" ht="21" customHeight="1" x14ac:dyDescent="0.3">
      <c r="A74" s="16"/>
      <c r="B74" s="14" t="s">
        <v>63</v>
      </c>
      <c r="C74" s="15" t="s">
        <v>32</v>
      </c>
      <c r="D74" s="26">
        <v>248.5</v>
      </c>
      <c r="E74" s="101" t="s">
        <v>645</v>
      </c>
      <c r="F74" s="135">
        <f>2%*D74</f>
        <v>4.97</v>
      </c>
      <c r="G74" s="19">
        <f>4%*D74</f>
        <v>9.94</v>
      </c>
      <c r="H74" s="26">
        <f t="shared" si="19"/>
        <v>14.91</v>
      </c>
      <c r="I74" s="135">
        <v>0</v>
      </c>
      <c r="J74" s="135"/>
      <c r="K74" s="135">
        <v>0</v>
      </c>
      <c r="L74" s="135">
        <v>2</v>
      </c>
      <c r="M74" s="135">
        <f t="shared" si="18"/>
        <v>2</v>
      </c>
      <c r="N74" s="80"/>
      <c r="O74" s="81"/>
      <c r="P74" s="234">
        <f>G74*1.036*20%*8000000</f>
        <v>16476544</v>
      </c>
      <c r="Q74" s="87"/>
    </row>
    <row r="75" spans="1:20" ht="16.5" customHeight="1" x14ac:dyDescent="0.3">
      <c r="A75" s="75"/>
      <c r="B75" s="72" t="s">
        <v>348</v>
      </c>
      <c r="C75" s="72"/>
      <c r="D75" s="73">
        <f>SUM(D66:D74)</f>
        <v>4197.2299999999996</v>
      </c>
      <c r="E75" s="74"/>
      <c r="F75" s="73">
        <f t="shared" ref="F75:K75" si="22">SUM(F66:F74)</f>
        <v>248.25549999999998</v>
      </c>
      <c r="G75" s="83">
        <f t="shared" si="22"/>
        <v>249.04150000000001</v>
      </c>
      <c r="H75" s="73">
        <f t="shared" si="22"/>
        <v>497.29700000000003</v>
      </c>
      <c r="I75" s="83">
        <f t="shared" si="22"/>
        <v>0</v>
      </c>
      <c r="J75" s="83">
        <f t="shared" si="22"/>
        <v>0</v>
      </c>
      <c r="K75" s="83">
        <f t="shared" si="22"/>
        <v>0</v>
      </c>
      <c r="L75" s="83">
        <f>SUM(L65:L74)</f>
        <v>26</v>
      </c>
      <c r="M75" s="83">
        <f>SUM(M66:M74)</f>
        <v>26</v>
      </c>
      <c r="N75" s="76"/>
      <c r="O75" s="77"/>
      <c r="P75" s="184">
        <f>SUM(P66:P74)</f>
        <v>424767718.19999999</v>
      </c>
      <c r="Q75" s="75"/>
    </row>
    <row r="76" spans="1:20" ht="14.25" customHeight="1" x14ac:dyDescent="0.3">
      <c r="A76" s="63">
        <v>5</v>
      </c>
      <c r="B76" s="64" t="s">
        <v>96</v>
      </c>
      <c r="C76" s="65"/>
      <c r="D76" s="66"/>
      <c r="E76" s="67"/>
      <c r="F76" s="66"/>
      <c r="G76" s="66"/>
      <c r="H76" s="66"/>
      <c r="I76" s="82"/>
      <c r="J76" s="82"/>
      <c r="K76" s="82"/>
      <c r="L76" s="82"/>
      <c r="M76" s="82"/>
      <c r="N76" s="69"/>
      <c r="O76" s="70"/>
      <c r="P76" s="233"/>
      <c r="Q76" s="68"/>
    </row>
    <row r="77" spans="1:20" ht="16.5" customHeight="1" x14ac:dyDescent="0.3">
      <c r="A77" s="16"/>
      <c r="B77" s="14" t="s">
        <v>57</v>
      </c>
      <c r="C77" s="15" t="s">
        <v>22</v>
      </c>
      <c r="D77" s="26">
        <v>13.6</v>
      </c>
      <c r="E77" s="47" t="s">
        <v>187</v>
      </c>
      <c r="F77" s="26">
        <f>50%*D77</f>
        <v>6.8</v>
      </c>
      <c r="G77" s="26">
        <f>10%*D77</f>
        <v>1.36</v>
      </c>
      <c r="H77" s="26">
        <f t="shared" ref="H77:H85" si="23">SUM(F77:G77)</f>
        <v>8.16</v>
      </c>
      <c r="I77" s="19">
        <v>0</v>
      </c>
      <c r="J77" s="19"/>
      <c r="K77" s="19"/>
      <c r="L77" s="19">
        <v>1</v>
      </c>
      <c r="M77" s="19">
        <f>SUM(I77:L77)</f>
        <v>1</v>
      </c>
      <c r="N77" s="35"/>
      <c r="O77" s="36"/>
      <c r="P77" s="234">
        <f t="shared" ref="P77:P85" si="24">G77*0.486*30%*0</f>
        <v>0</v>
      </c>
      <c r="Q77" s="16"/>
    </row>
    <row r="78" spans="1:20" ht="17.25" customHeight="1" x14ac:dyDescent="0.3">
      <c r="A78" s="16"/>
      <c r="B78" s="14" t="s">
        <v>58</v>
      </c>
      <c r="C78" s="15" t="s">
        <v>21</v>
      </c>
      <c r="D78" s="26">
        <v>24.61</v>
      </c>
      <c r="E78" s="47" t="s">
        <v>187</v>
      </c>
      <c r="F78" s="26">
        <f>15%*D78</f>
        <v>3.6914999999999996</v>
      </c>
      <c r="G78" s="26">
        <f>30%*D78</f>
        <v>7.3829999999999991</v>
      </c>
      <c r="H78" s="26">
        <f t="shared" si="23"/>
        <v>11.074499999999999</v>
      </c>
      <c r="I78" s="19">
        <v>0</v>
      </c>
      <c r="J78" s="19"/>
      <c r="K78" s="19"/>
      <c r="L78" s="19">
        <v>3</v>
      </c>
      <c r="M78" s="19">
        <f t="shared" ref="M78:M85" si="25">SUM(I78:L78)</f>
        <v>3</v>
      </c>
      <c r="N78" s="35"/>
      <c r="O78" s="36" t="s">
        <v>50</v>
      </c>
      <c r="P78" s="234">
        <f t="shared" si="24"/>
        <v>0</v>
      </c>
      <c r="Q78" s="16"/>
      <c r="S78" s="1" t="s">
        <v>636</v>
      </c>
      <c r="T78" s="1" t="s">
        <v>637</v>
      </c>
    </row>
    <row r="79" spans="1:20" ht="16.5" customHeight="1" x14ac:dyDescent="0.3">
      <c r="A79" s="16"/>
      <c r="B79" s="14"/>
      <c r="C79" s="15"/>
      <c r="D79" s="26"/>
      <c r="E79" s="47" t="s">
        <v>631</v>
      </c>
      <c r="F79" s="96">
        <f>5%*D78</f>
        <v>1.2305000000000001</v>
      </c>
      <c r="G79" s="96">
        <f>10%*D78</f>
        <v>2.4610000000000003</v>
      </c>
      <c r="H79" s="96">
        <f t="shared" si="23"/>
        <v>3.6915000000000004</v>
      </c>
      <c r="I79" s="97">
        <v>0</v>
      </c>
      <c r="J79" s="97">
        <v>0</v>
      </c>
      <c r="K79" s="97">
        <v>0</v>
      </c>
      <c r="L79" s="97">
        <v>2</v>
      </c>
      <c r="M79" s="97">
        <f t="shared" si="25"/>
        <v>2</v>
      </c>
      <c r="N79" s="35"/>
      <c r="O79" s="36"/>
      <c r="P79" s="234">
        <f t="shared" si="24"/>
        <v>0</v>
      </c>
      <c r="Q79" s="16"/>
      <c r="T79" s="1" t="s">
        <v>638</v>
      </c>
    </row>
    <row r="80" spans="1:20" ht="16.5" customHeight="1" x14ac:dyDescent="0.3">
      <c r="A80" s="16"/>
      <c r="B80" s="14" t="s">
        <v>59</v>
      </c>
      <c r="C80" s="15" t="s">
        <v>43</v>
      </c>
      <c r="D80" s="26">
        <v>22.64</v>
      </c>
      <c r="E80" s="47" t="s">
        <v>187</v>
      </c>
      <c r="F80" s="96">
        <f>15%*D80</f>
        <v>3.3959999999999999</v>
      </c>
      <c r="G80" s="26">
        <f>5%*D80</f>
        <v>1.1320000000000001</v>
      </c>
      <c r="H80" s="26">
        <f t="shared" si="23"/>
        <v>4.5280000000000005</v>
      </c>
      <c r="I80" s="19">
        <v>0</v>
      </c>
      <c r="J80" s="19"/>
      <c r="K80" s="19"/>
      <c r="L80" s="19">
        <v>3</v>
      </c>
      <c r="M80" s="19">
        <f t="shared" si="25"/>
        <v>3</v>
      </c>
      <c r="N80" s="35"/>
      <c r="O80" s="36" t="s">
        <v>137</v>
      </c>
      <c r="P80" s="234">
        <f t="shared" si="24"/>
        <v>0</v>
      </c>
      <c r="Q80" s="16"/>
    </row>
    <row r="81" spans="1:20" ht="18.75" customHeight="1" x14ac:dyDescent="0.3">
      <c r="A81" s="16"/>
      <c r="B81" s="14" t="s">
        <v>60</v>
      </c>
      <c r="C81" s="15" t="s">
        <v>44</v>
      </c>
      <c r="D81" s="26">
        <v>33</v>
      </c>
      <c r="E81" s="47" t="s">
        <v>187</v>
      </c>
      <c r="F81" s="26">
        <f>10%*D81</f>
        <v>3.3000000000000003</v>
      </c>
      <c r="G81" s="26">
        <f>10%*D81</f>
        <v>3.3000000000000003</v>
      </c>
      <c r="H81" s="26">
        <f t="shared" si="23"/>
        <v>6.6000000000000005</v>
      </c>
      <c r="I81" s="19">
        <v>0</v>
      </c>
      <c r="J81" s="19">
        <v>0</v>
      </c>
      <c r="K81" s="19">
        <v>0</v>
      </c>
      <c r="L81" s="19">
        <v>2</v>
      </c>
      <c r="M81" s="19">
        <f t="shared" si="25"/>
        <v>2</v>
      </c>
      <c r="N81" s="35"/>
      <c r="O81" s="36" t="s">
        <v>145</v>
      </c>
      <c r="P81" s="234">
        <f t="shared" si="24"/>
        <v>0</v>
      </c>
      <c r="Q81" s="16"/>
    </row>
    <row r="82" spans="1:20" ht="18.75" customHeight="1" x14ac:dyDescent="0.3">
      <c r="A82" s="16"/>
      <c r="B82" s="14" t="s">
        <v>61</v>
      </c>
      <c r="C82" s="15" t="s">
        <v>33</v>
      </c>
      <c r="D82" s="26">
        <v>8.3000000000000007</v>
      </c>
      <c r="E82" s="47" t="s">
        <v>187</v>
      </c>
      <c r="F82" s="26">
        <f>10%*D82</f>
        <v>0.83000000000000007</v>
      </c>
      <c r="G82" s="26">
        <f>5%*D82</f>
        <v>0.41500000000000004</v>
      </c>
      <c r="H82" s="26">
        <f t="shared" si="23"/>
        <v>1.2450000000000001</v>
      </c>
      <c r="I82" s="19">
        <v>0</v>
      </c>
      <c r="J82" s="19">
        <v>0</v>
      </c>
      <c r="K82" s="19">
        <v>0</v>
      </c>
      <c r="L82" s="19"/>
      <c r="M82" s="19">
        <f t="shared" si="25"/>
        <v>0</v>
      </c>
      <c r="N82" s="35"/>
      <c r="O82" s="36" t="s">
        <v>626</v>
      </c>
      <c r="P82" s="234">
        <f t="shared" si="24"/>
        <v>0</v>
      </c>
      <c r="Q82" s="16"/>
    </row>
    <row r="83" spans="1:20" ht="19.5" customHeight="1" x14ac:dyDescent="0.3">
      <c r="A83" s="16"/>
      <c r="B83" s="14" t="s">
        <v>62</v>
      </c>
      <c r="C83" s="15" t="s">
        <v>655</v>
      </c>
      <c r="D83" s="26">
        <v>5</v>
      </c>
      <c r="E83" s="47" t="s">
        <v>187</v>
      </c>
      <c r="F83" s="26">
        <f>5%*D83</f>
        <v>0.25</v>
      </c>
      <c r="G83" s="26">
        <f>10%*D83</f>
        <v>0.5</v>
      </c>
      <c r="H83" s="26">
        <f t="shared" si="23"/>
        <v>0.75</v>
      </c>
      <c r="I83" s="19">
        <v>0</v>
      </c>
      <c r="J83" s="19">
        <v>0</v>
      </c>
      <c r="K83" s="19">
        <v>0</v>
      </c>
      <c r="L83" s="19"/>
      <c r="M83" s="19">
        <f t="shared" si="25"/>
        <v>0</v>
      </c>
      <c r="N83" s="35"/>
      <c r="O83" s="36"/>
      <c r="P83" s="234">
        <f t="shared" si="24"/>
        <v>0</v>
      </c>
      <c r="Q83" s="16"/>
    </row>
    <row r="84" spans="1:20" ht="19.5" customHeight="1" x14ac:dyDescent="0.3">
      <c r="A84" s="16"/>
      <c r="B84" s="14">
        <v>9</v>
      </c>
      <c r="C84" s="15" t="s">
        <v>30</v>
      </c>
      <c r="D84" s="26">
        <v>11.5</v>
      </c>
      <c r="E84" s="47" t="s">
        <v>187</v>
      </c>
      <c r="F84" s="26">
        <f>10%*D84</f>
        <v>1.1500000000000001</v>
      </c>
      <c r="G84" s="26">
        <f>10%*D84</f>
        <v>1.1500000000000001</v>
      </c>
      <c r="H84" s="26">
        <f t="shared" si="23"/>
        <v>2.3000000000000003</v>
      </c>
      <c r="I84" s="19">
        <v>0</v>
      </c>
      <c r="J84" s="19">
        <v>0</v>
      </c>
      <c r="K84" s="19"/>
      <c r="L84" s="19">
        <v>1</v>
      </c>
      <c r="M84" s="19">
        <f t="shared" si="25"/>
        <v>1</v>
      </c>
      <c r="N84" s="35"/>
      <c r="O84" s="36"/>
      <c r="P84" s="234">
        <f t="shared" si="24"/>
        <v>0</v>
      </c>
      <c r="Q84" s="16"/>
    </row>
    <row r="85" spans="1:20" ht="17.25" customHeight="1" x14ac:dyDescent="0.3">
      <c r="A85" s="87"/>
      <c r="B85" s="55" t="s">
        <v>64</v>
      </c>
      <c r="C85" s="56" t="s">
        <v>31</v>
      </c>
      <c r="D85" s="57">
        <v>6</v>
      </c>
      <c r="E85" s="47" t="s">
        <v>187</v>
      </c>
      <c r="F85" s="26">
        <f>15%*D85</f>
        <v>0.89999999999999991</v>
      </c>
      <c r="G85" s="26">
        <f>10%*D85</f>
        <v>0.60000000000000009</v>
      </c>
      <c r="H85" s="26">
        <f t="shared" si="23"/>
        <v>1.5</v>
      </c>
      <c r="I85" s="79">
        <v>0</v>
      </c>
      <c r="J85" s="79">
        <v>0</v>
      </c>
      <c r="K85" s="79">
        <v>0</v>
      </c>
      <c r="L85" s="79">
        <v>1</v>
      </c>
      <c r="M85" s="79">
        <f t="shared" si="25"/>
        <v>1</v>
      </c>
      <c r="N85" s="80"/>
      <c r="O85" s="81"/>
      <c r="P85" s="234">
        <f t="shared" si="24"/>
        <v>0</v>
      </c>
      <c r="Q85" s="87"/>
    </row>
    <row r="86" spans="1:20" ht="15.75" customHeight="1" x14ac:dyDescent="0.3">
      <c r="A86" s="75"/>
      <c r="B86" s="72" t="s">
        <v>349</v>
      </c>
      <c r="C86" s="72"/>
      <c r="D86" s="73">
        <f>SUM(D77:D85)</f>
        <v>124.64999999999999</v>
      </c>
      <c r="E86" s="74"/>
      <c r="F86" s="73">
        <f t="shared" ref="F86:K86" si="26">SUM(F77:F85)</f>
        <v>21.547999999999995</v>
      </c>
      <c r="G86" s="73">
        <f t="shared" si="26"/>
        <v>18.300999999999998</v>
      </c>
      <c r="H86" s="73">
        <f t="shared" si="26"/>
        <v>39.848999999999997</v>
      </c>
      <c r="I86" s="83">
        <f t="shared" si="26"/>
        <v>0</v>
      </c>
      <c r="J86" s="83">
        <f t="shared" si="26"/>
        <v>0</v>
      </c>
      <c r="K86" s="83">
        <f t="shared" si="26"/>
        <v>0</v>
      </c>
      <c r="L86" s="83">
        <f>SUM(L76:L85)</f>
        <v>13</v>
      </c>
      <c r="M86" s="83">
        <f>SUM(M77:M85)</f>
        <v>13</v>
      </c>
      <c r="N86" s="76"/>
      <c r="O86" s="77"/>
      <c r="P86" s="184">
        <f>SUM(P77:P85)</f>
        <v>0</v>
      </c>
      <c r="Q86" s="75"/>
    </row>
    <row r="87" spans="1:20" ht="15.75" customHeight="1" x14ac:dyDescent="0.3">
      <c r="A87" s="103">
        <v>6</v>
      </c>
      <c r="B87" s="104" t="s">
        <v>116</v>
      </c>
      <c r="C87" s="104"/>
      <c r="D87" s="105"/>
      <c r="E87" s="106"/>
      <c r="F87" s="105"/>
      <c r="G87" s="107"/>
      <c r="H87" s="105"/>
      <c r="I87" s="107"/>
      <c r="J87" s="107"/>
      <c r="K87" s="107"/>
      <c r="L87" s="107"/>
      <c r="M87" s="107"/>
      <c r="N87" s="69"/>
      <c r="O87" s="70"/>
      <c r="P87" s="233"/>
      <c r="Q87" s="68"/>
      <c r="S87" s="1" t="s">
        <v>596</v>
      </c>
    </row>
    <row r="88" spans="1:20" ht="14.25" customHeight="1" x14ac:dyDescent="0.3">
      <c r="A88" s="27"/>
      <c r="B88" s="152" t="s">
        <v>57</v>
      </c>
      <c r="C88" s="99" t="s">
        <v>30</v>
      </c>
      <c r="D88" s="154">
        <v>54.84</v>
      </c>
      <c r="E88" s="101" t="s">
        <v>607</v>
      </c>
      <c r="F88" s="154">
        <f>5%*D88</f>
        <v>2.7420000000000004</v>
      </c>
      <c r="G88" s="155">
        <f>10%*D88</f>
        <v>5.4840000000000009</v>
      </c>
      <c r="H88" s="154">
        <f t="shared" ref="H88:H93" si="27">SUM(F88:G88)</f>
        <v>8.2260000000000009</v>
      </c>
      <c r="I88" s="155">
        <v>0</v>
      </c>
      <c r="J88" s="155"/>
      <c r="K88" s="155"/>
      <c r="L88" s="155">
        <v>2</v>
      </c>
      <c r="M88" s="155">
        <f>SUM(I88:L88)</f>
        <v>2</v>
      </c>
      <c r="N88" s="156" t="s">
        <v>86</v>
      </c>
      <c r="O88" s="36" t="s">
        <v>271</v>
      </c>
      <c r="P88" s="235">
        <f t="shared" ref="P88:P93" si="28">G88*0.347*30*21000000</f>
        <v>1198857240</v>
      </c>
      <c r="Q88" s="27"/>
      <c r="S88" s="1" t="s">
        <v>597</v>
      </c>
      <c r="T88" s="1" t="s">
        <v>598</v>
      </c>
    </row>
    <row r="89" spans="1:20" ht="12.75" customHeight="1" x14ac:dyDescent="0.3">
      <c r="A89" s="27"/>
      <c r="B89" s="152"/>
      <c r="C89" s="153"/>
      <c r="D89" s="154"/>
      <c r="E89" s="101" t="s">
        <v>625</v>
      </c>
      <c r="F89" s="154">
        <f>7%*D88</f>
        <v>3.8388000000000004</v>
      </c>
      <c r="G89" s="155">
        <f>5%*D88</f>
        <v>2.7420000000000004</v>
      </c>
      <c r="H89" s="154">
        <f t="shared" ref="H89" si="29">SUM(F89:G89)</f>
        <v>6.5808000000000009</v>
      </c>
      <c r="I89" s="155">
        <v>0</v>
      </c>
      <c r="J89" s="155"/>
      <c r="K89" s="155"/>
      <c r="L89" s="155">
        <v>1</v>
      </c>
      <c r="M89" s="155">
        <f>SUM(I89:L89)</f>
        <v>1</v>
      </c>
      <c r="N89" s="156"/>
      <c r="O89" s="40"/>
      <c r="P89" s="235">
        <f t="shared" si="28"/>
        <v>599428620</v>
      </c>
      <c r="Q89" s="27"/>
    </row>
    <row r="90" spans="1:20" ht="18" customHeight="1" x14ac:dyDescent="0.3">
      <c r="A90" s="16"/>
      <c r="B90" s="14" t="s">
        <v>58</v>
      </c>
      <c r="C90" s="15" t="s">
        <v>44</v>
      </c>
      <c r="D90" s="26">
        <v>84.65</v>
      </c>
      <c r="E90" s="47" t="s">
        <v>182</v>
      </c>
      <c r="F90" s="26">
        <f>5%*D90</f>
        <v>4.2325000000000008</v>
      </c>
      <c r="G90" s="19">
        <f>11%*D90</f>
        <v>9.3115000000000006</v>
      </c>
      <c r="H90" s="26">
        <f t="shared" si="27"/>
        <v>13.544</v>
      </c>
      <c r="I90" s="19">
        <v>0</v>
      </c>
      <c r="J90" s="19"/>
      <c r="K90" s="19"/>
      <c r="L90" s="19">
        <v>2</v>
      </c>
      <c r="M90" s="19">
        <f t="shared" ref="M90:M93" si="30">SUM(I90:L90)</f>
        <v>2</v>
      </c>
      <c r="N90" s="35"/>
      <c r="O90" s="36" t="s">
        <v>272</v>
      </c>
      <c r="P90" s="235">
        <f t="shared" si="28"/>
        <v>2035587015</v>
      </c>
      <c r="Q90" s="16"/>
      <c r="S90" s="1" t="s">
        <v>599</v>
      </c>
      <c r="T90" s="1" t="s">
        <v>600</v>
      </c>
    </row>
    <row r="91" spans="1:20" ht="21" customHeight="1" x14ac:dyDescent="0.3">
      <c r="A91" s="16"/>
      <c r="B91" s="14"/>
      <c r="C91" s="15"/>
      <c r="D91" s="26"/>
      <c r="E91" s="101" t="s">
        <v>181</v>
      </c>
      <c r="F91" s="96">
        <f>8%*D90</f>
        <v>6.7720000000000002</v>
      </c>
      <c r="G91" s="97">
        <f>6%*D90</f>
        <v>5.0789999999999997</v>
      </c>
      <c r="H91" s="96">
        <f t="shared" si="27"/>
        <v>11.850999999999999</v>
      </c>
      <c r="I91" s="97">
        <v>0</v>
      </c>
      <c r="J91" s="97"/>
      <c r="K91" s="97">
        <v>0</v>
      </c>
      <c r="L91" s="97">
        <v>3</v>
      </c>
      <c r="M91" s="97">
        <f>SUM(I91:L91)</f>
        <v>3</v>
      </c>
      <c r="N91" s="35"/>
      <c r="O91" s="159" t="s">
        <v>273</v>
      </c>
      <c r="P91" s="235">
        <f t="shared" si="28"/>
        <v>1110320190</v>
      </c>
      <c r="Q91" s="16"/>
    </row>
    <row r="92" spans="1:20" ht="23.25" customHeight="1" x14ac:dyDescent="0.3">
      <c r="A92" s="16"/>
      <c r="B92" s="14" t="s">
        <v>59</v>
      </c>
      <c r="C92" s="15" t="s">
        <v>33</v>
      </c>
      <c r="D92" s="26">
        <v>14.2</v>
      </c>
      <c r="E92" s="101" t="s">
        <v>181</v>
      </c>
      <c r="F92" s="96">
        <f>10%*D92</f>
        <v>1.42</v>
      </c>
      <c r="G92" s="240">
        <f>15%*D92</f>
        <v>2.13</v>
      </c>
      <c r="H92" s="26">
        <f t="shared" si="27"/>
        <v>3.55</v>
      </c>
      <c r="I92" s="19">
        <v>0</v>
      </c>
      <c r="J92" s="19"/>
      <c r="K92" s="19"/>
      <c r="L92" s="19"/>
      <c r="M92" s="19">
        <f t="shared" si="30"/>
        <v>0</v>
      </c>
      <c r="N92" s="35" t="s">
        <v>88</v>
      </c>
      <c r="O92" s="36" t="s">
        <v>274</v>
      </c>
      <c r="P92" s="235">
        <f t="shared" si="28"/>
        <v>465639299.99999994</v>
      </c>
      <c r="Q92" s="16"/>
      <c r="S92" s="1" t="s">
        <v>592</v>
      </c>
    </row>
    <row r="93" spans="1:20" ht="26.25" customHeight="1" x14ac:dyDescent="0.3">
      <c r="A93" s="108"/>
      <c r="B93" s="128" t="s">
        <v>61</v>
      </c>
      <c r="C93" s="126" t="s">
        <v>35</v>
      </c>
      <c r="D93" s="127">
        <v>36.72</v>
      </c>
      <c r="E93" s="142" t="s">
        <v>183</v>
      </c>
      <c r="F93" s="127">
        <f>10%*D93</f>
        <v>3.6720000000000002</v>
      </c>
      <c r="G93" s="240">
        <f>5%*D93</f>
        <v>1.8360000000000001</v>
      </c>
      <c r="H93" s="127">
        <f t="shared" si="27"/>
        <v>5.508</v>
      </c>
      <c r="I93" s="143">
        <v>0</v>
      </c>
      <c r="J93" s="143">
        <v>0</v>
      </c>
      <c r="K93" s="143">
        <v>0</v>
      </c>
      <c r="L93" s="143">
        <v>3</v>
      </c>
      <c r="M93" s="143">
        <f t="shared" si="30"/>
        <v>3</v>
      </c>
      <c r="N93" s="157" t="s">
        <v>254</v>
      </c>
      <c r="O93" s="158" t="s">
        <v>137</v>
      </c>
      <c r="P93" s="235">
        <f t="shared" si="28"/>
        <v>401367960.00000006</v>
      </c>
      <c r="Q93" s="87"/>
      <c r="S93" s="217" t="s">
        <v>601</v>
      </c>
      <c r="T93" s="216" t="s">
        <v>602</v>
      </c>
    </row>
    <row r="94" spans="1:20" ht="20.25" customHeight="1" x14ac:dyDescent="0.3">
      <c r="A94" s="75"/>
      <c r="B94" s="136" t="s">
        <v>351</v>
      </c>
      <c r="C94" s="137"/>
      <c r="D94" s="138">
        <f>SUM(D88:D93)</f>
        <v>190.41</v>
      </c>
      <c r="E94" s="139"/>
      <c r="F94" s="138">
        <f t="shared" ref="F94:M94" si="31">SUM(F88:F93)</f>
        <v>22.677300000000006</v>
      </c>
      <c r="G94" s="140">
        <f t="shared" si="31"/>
        <v>26.5825</v>
      </c>
      <c r="H94" s="138">
        <f t="shared" si="31"/>
        <v>49.259800000000006</v>
      </c>
      <c r="I94" s="140">
        <f t="shared" si="31"/>
        <v>0</v>
      </c>
      <c r="J94" s="140">
        <f t="shared" si="31"/>
        <v>0</v>
      </c>
      <c r="K94" s="140">
        <f t="shared" si="31"/>
        <v>0</v>
      </c>
      <c r="L94" s="140">
        <f t="shared" si="31"/>
        <v>11</v>
      </c>
      <c r="M94" s="140">
        <f t="shared" si="31"/>
        <v>11</v>
      </c>
      <c r="N94" s="76"/>
      <c r="O94" s="77"/>
      <c r="P94" s="237">
        <f>SUM(P88:P93)</f>
        <v>5811200325</v>
      </c>
      <c r="Q94" s="75"/>
    </row>
    <row r="95" spans="1:20" ht="13.5" customHeight="1" x14ac:dyDescent="0.3">
      <c r="A95" s="63">
        <v>7</v>
      </c>
      <c r="B95" s="8" t="s">
        <v>117</v>
      </c>
      <c r="C95" s="10"/>
      <c r="D95" s="90"/>
      <c r="E95" s="67"/>
      <c r="F95" s="66"/>
      <c r="G95" s="218"/>
      <c r="H95" s="66"/>
      <c r="I95" s="82"/>
      <c r="J95" s="82"/>
      <c r="K95" s="82"/>
      <c r="L95" s="82"/>
      <c r="M95" s="82"/>
      <c r="N95" s="69"/>
      <c r="O95" s="70"/>
      <c r="P95" s="233"/>
      <c r="Q95" s="68"/>
    </row>
    <row r="96" spans="1:20" ht="24.75" customHeight="1" x14ac:dyDescent="0.3">
      <c r="A96" s="16"/>
      <c r="B96" s="14" t="s">
        <v>57</v>
      </c>
      <c r="C96" s="15" t="s">
        <v>22</v>
      </c>
      <c r="D96" s="26">
        <v>300.95</v>
      </c>
      <c r="E96" s="101" t="s">
        <v>203</v>
      </c>
      <c r="F96" s="96">
        <f>3%*D96</f>
        <v>9.0284999999999993</v>
      </c>
      <c r="G96" s="223">
        <f>35%*D96</f>
        <v>105.3325</v>
      </c>
      <c r="H96" s="96">
        <f t="shared" ref="H96:H103" si="32">SUM(F96:G96)</f>
        <v>114.36099999999999</v>
      </c>
      <c r="I96" s="97">
        <v>0</v>
      </c>
      <c r="J96" s="97"/>
      <c r="K96" s="97"/>
      <c r="L96" s="97">
        <v>3</v>
      </c>
      <c r="M96" s="97">
        <f>SUM(I96:L96)</f>
        <v>3</v>
      </c>
      <c r="N96" s="35"/>
      <c r="O96" s="40" t="s">
        <v>211</v>
      </c>
      <c r="P96" s="238">
        <f t="shared" ref="P96:P103" si="33">G96*0.3*30%*40000000</f>
        <v>379196999.99999994</v>
      </c>
      <c r="Q96" s="16"/>
    </row>
    <row r="97" spans="1:19" ht="15" customHeight="1" x14ac:dyDescent="0.3">
      <c r="A97" s="16"/>
      <c r="B97" s="14"/>
      <c r="C97" s="15"/>
      <c r="D97" s="26"/>
      <c r="E97" s="101" t="s">
        <v>184</v>
      </c>
      <c r="F97" s="96">
        <f>2%*D96</f>
        <v>6.0190000000000001</v>
      </c>
      <c r="G97" s="97">
        <f>4%*D96</f>
        <v>12.038</v>
      </c>
      <c r="H97" s="96">
        <f>SUM(F97:G97)</f>
        <v>18.057000000000002</v>
      </c>
      <c r="I97" s="97">
        <v>0</v>
      </c>
      <c r="J97" s="97"/>
      <c r="K97" s="97">
        <v>0</v>
      </c>
      <c r="L97" s="97">
        <v>3</v>
      </c>
      <c r="M97" s="97">
        <f>SUM(I97:L97)</f>
        <v>3</v>
      </c>
      <c r="N97" s="35"/>
      <c r="O97" s="40"/>
      <c r="P97" s="238">
        <f t="shared" si="33"/>
        <v>43336799.999999993</v>
      </c>
      <c r="Q97" s="16"/>
    </row>
    <row r="98" spans="1:19" ht="32.25" customHeight="1" x14ac:dyDescent="0.3">
      <c r="A98" s="16"/>
      <c r="B98" s="98" t="s">
        <v>58</v>
      </c>
      <c r="C98" s="99" t="s">
        <v>42</v>
      </c>
      <c r="D98" s="26">
        <v>277.5</v>
      </c>
      <c r="E98" s="101" t="s">
        <v>203</v>
      </c>
      <c r="F98" s="96">
        <f>2%*D98</f>
        <v>5.55</v>
      </c>
      <c r="G98" s="97">
        <f>45%*D98</f>
        <v>124.875</v>
      </c>
      <c r="H98" s="96">
        <f t="shared" si="32"/>
        <v>130.42500000000001</v>
      </c>
      <c r="I98" s="97">
        <v>0</v>
      </c>
      <c r="J98" s="97"/>
      <c r="K98" s="97">
        <v>0</v>
      </c>
      <c r="L98" s="97">
        <v>2</v>
      </c>
      <c r="M98" s="97">
        <f>SUM(I98:L98)</f>
        <v>2</v>
      </c>
      <c r="N98" s="35"/>
      <c r="O98" s="40" t="s">
        <v>137</v>
      </c>
      <c r="P98" s="238">
        <f t="shared" si="33"/>
        <v>449550000</v>
      </c>
      <c r="Q98" s="16"/>
      <c r="S98" s="1" t="s">
        <v>593</v>
      </c>
    </row>
    <row r="99" spans="1:19" ht="14.25" customHeight="1" x14ac:dyDescent="0.3">
      <c r="A99" s="16"/>
      <c r="B99" s="14"/>
      <c r="C99" s="15"/>
      <c r="D99" s="26"/>
      <c r="E99" s="101" t="s">
        <v>184</v>
      </c>
      <c r="F99" s="96">
        <f>3%*D98</f>
        <v>8.3249999999999993</v>
      </c>
      <c r="G99" s="97">
        <f>4%*D98</f>
        <v>11.1</v>
      </c>
      <c r="H99" s="96">
        <f>SUM(F99:G99)</f>
        <v>19.424999999999997</v>
      </c>
      <c r="I99" s="97"/>
      <c r="J99" s="97"/>
      <c r="K99" s="97"/>
      <c r="L99" s="97"/>
      <c r="M99" s="97"/>
      <c r="N99" s="35"/>
      <c r="O99" s="40"/>
      <c r="P99" s="238">
        <f t="shared" si="33"/>
        <v>39959999.999999993</v>
      </c>
      <c r="Q99" s="16"/>
      <c r="S99" s="1" t="s">
        <v>594</v>
      </c>
    </row>
    <row r="100" spans="1:19" ht="22.5" customHeight="1" x14ac:dyDescent="0.3">
      <c r="A100" s="16"/>
      <c r="B100" s="14" t="s">
        <v>59</v>
      </c>
      <c r="C100" s="15" t="s">
        <v>21</v>
      </c>
      <c r="D100" s="18">
        <v>162.94999999999999</v>
      </c>
      <c r="E100" s="101" t="s">
        <v>203</v>
      </c>
      <c r="F100" s="225">
        <f>5%*D100</f>
        <v>8.1474999999999991</v>
      </c>
      <c r="G100" s="225">
        <f>25%*D100</f>
        <v>40.737499999999997</v>
      </c>
      <c r="H100" s="96">
        <f t="shared" si="32"/>
        <v>48.884999999999998</v>
      </c>
      <c r="I100" s="97">
        <v>0</v>
      </c>
      <c r="J100" s="97"/>
      <c r="K100" s="97"/>
      <c r="L100" s="97">
        <v>4</v>
      </c>
      <c r="M100" s="97">
        <f>SUM(I100:L100)</f>
        <v>4</v>
      </c>
      <c r="N100" s="35"/>
      <c r="O100" s="36"/>
      <c r="P100" s="238">
        <f t="shared" si="33"/>
        <v>146654999.99999997</v>
      </c>
      <c r="Q100" s="16"/>
      <c r="S100" s="1" t="s">
        <v>595</v>
      </c>
    </row>
    <row r="101" spans="1:19" ht="24" customHeight="1" x14ac:dyDescent="0.3">
      <c r="A101" s="16"/>
      <c r="B101" s="14" t="s">
        <v>60</v>
      </c>
      <c r="C101" s="15" t="s">
        <v>43</v>
      </c>
      <c r="D101" s="26">
        <v>461.8</v>
      </c>
      <c r="E101" s="101" t="s">
        <v>221</v>
      </c>
      <c r="F101" s="96">
        <f>3%*D101</f>
        <v>13.853999999999999</v>
      </c>
      <c r="G101" s="97">
        <f>35%*D101</f>
        <v>161.63</v>
      </c>
      <c r="H101" s="96">
        <f t="shared" si="32"/>
        <v>175.48399999999998</v>
      </c>
      <c r="I101" s="97">
        <v>0</v>
      </c>
      <c r="J101" s="97"/>
      <c r="K101" s="97">
        <v>0</v>
      </c>
      <c r="L101" s="97">
        <v>3</v>
      </c>
      <c r="M101" s="97">
        <f>SUM(I101:L101)</f>
        <v>3</v>
      </c>
      <c r="N101" s="35"/>
      <c r="O101" s="36"/>
      <c r="P101" s="238">
        <f t="shared" si="33"/>
        <v>581867999.99999988</v>
      </c>
      <c r="Q101" s="16"/>
    </row>
    <row r="102" spans="1:19" ht="20.25" customHeight="1" x14ac:dyDescent="0.3">
      <c r="A102" s="16"/>
      <c r="B102" s="14"/>
      <c r="C102" s="15"/>
      <c r="D102" s="26"/>
      <c r="E102" s="101" t="s">
        <v>184</v>
      </c>
      <c r="F102" s="96">
        <f>5%*D101</f>
        <v>23.090000000000003</v>
      </c>
      <c r="G102" s="96">
        <f>7%*D101</f>
        <v>32.326000000000001</v>
      </c>
      <c r="H102" s="96">
        <f>SUM(F102:G102)</f>
        <v>55.416000000000004</v>
      </c>
      <c r="I102" s="97"/>
      <c r="J102" s="97"/>
      <c r="K102" s="97"/>
      <c r="L102" s="97"/>
      <c r="M102" s="97"/>
      <c r="N102" s="35"/>
      <c r="O102" s="36"/>
      <c r="P102" s="238">
        <f t="shared" si="33"/>
        <v>116373600</v>
      </c>
      <c r="Q102" s="16"/>
    </row>
    <row r="103" spans="1:19" ht="23.25" customHeight="1" x14ac:dyDescent="0.3">
      <c r="A103" s="16"/>
      <c r="B103" s="14" t="s">
        <v>61</v>
      </c>
      <c r="C103" s="15" t="s">
        <v>44</v>
      </c>
      <c r="D103" s="26">
        <v>84.65</v>
      </c>
      <c r="E103" s="101" t="s">
        <v>203</v>
      </c>
      <c r="F103" s="26">
        <f>10%*D103</f>
        <v>8.4650000000000016</v>
      </c>
      <c r="G103" s="220">
        <f>45%*D103</f>
        <v>38.092500000000001</v>
      </c>
      <c r="H103" s="26">
        <f t="shared" si="32"/>
        <v>46.557500000000005</v>
      </c>
      <c r="I103" s="19">
        <v>0</v>
      </c>
      <c r="J103" s="19"/>
      <c r="K103" s="19"/>
      <c r="L103" s="19">
        <v>2</v>
      </c>
      <c r="M103" s="19">
        <f t="shared" ref="M103" si="34">SUM(I103:L103)</f>
        <v>2</v>
      </c>
      <c r="N103" s="35"/>
      <c r="O103" s="36"/>
      <c r="P103" s="238">
        <f t="shared" si="33"/>
        <v>137132999.99999997</v>
      </c>
      <c r="Q103" s="16"/>
    </row>
    <row r="104" spans="1:19" ht="18.75" customHeight="1" x14ac:dyDescent="0.3">
      <c r="A104" s="75"/>
      <c r="B104" s="72" t="s">
        <v>350</v>
      </c>
      <c r="C104" s="72"/>
      <c r="D104" s="73">
        <f>SUM(D90:D103)</f>
        <v>1613.8300000000002</v>
      </c>
      <c r="E104" s="74"/>
      <c r="F104" s="73">
        <v>4</v>
      </c>
      <c r="G104" s="83">
        <f>SUM(G82:G103)</f>
        <v>600.26250000000005</v>
      </c>
      <c r="H104" s="73">
        <f>SUM(H82:H103)</f>
        <v>752.77410000000009</v>
      </c>
      <c r="I104" s="83">
        <f>SUM(I90:I103)</f>
        <v>0</v>
      </c>
      <c r="J104" s="83">
        <f>SUM(J90:J103)</f>
        <v>0</v>
      </c>
      <c r="K104" s="83">
        <f>SUM(K90:K103)</f>
        <v>0</v>
      </c>
      <c r="L104" s="83">
        <f>SUM(L90:L103)</f>
        <v>36</v>
      </c>
      <c r="M104" s="83">
        <f>SUM(M88:M103)</f>
        <v>39</v>
      </c>
      <c r="N104" s="76"/>
      <c r="O104" s="77"/>
      <c r="P104" s="184">
        <f>SUM(P95:P103)</f>
        <v>1894073400</v>
      </c>
      <c r="Q104" s="75"/>
    </row>
    <row r="105" spans="1:19" ht="4.5" customHeight="1" x14ac:dyDescent="0.3">
      <c r="F105" s="2"/>
      <c r="G105" s="2"/>
      <c r="H105" s="2"/>
      <c r="I105" s="2"/>
      <c r="J105" s="2"/>
      <c r="K105" s="2"/>
      <c r="L105" s="2"/>
      <c r="M105" s="2"/>
    </row>
    <row r="106" spans="1:19" ht="16.5" customHeight="1" x14ac:dyDescent="0.3">
      <c r="F106" s="2"/>
      <c r="G106" s="2"/>
      <c r="H106" s="2"/>
      <c r="I106" s="2"/>
      <c r="J106" s="2" t="s">
        <v>665</v>
      </c>
      <c r="K106" s="2"/>
      <c r="L106" s="2"/>
      <c r="M106" s="2"/>
    </row>
    <row r="107" spans="1:19" ht="12" customHeight="1" x14ac:dyDescent="0.3">
      <c r="A107" s="395" t="s">
        <v>80</v>
      </c>
      <c r="B107" s="395"/>
      <c r="C107" s="395"/>
      <c r="D107" s="395"/>
    </row>
    <row r="108" spans="1:19" x14ac:dyDescent="0.3">
      <c r="A108" s="395" t="s">
        <v>81</v>
      </c>
      <c r="B108" s="395"/>
      <c r="C108" s="395"/>
      <c r="D108" s="395"/>
      <c r="J108" s="1" t="s">
        <v>85</v>
      </c>
    </row>
    <row r="109" spans="1:19" x14ac:dyDescent="0.3">
      <c r="A109" s="395" t="s">
        <v>82</v>
      </c>
      <c r="B109" s="395"/>
      <c r="C109" s="395"/>
      <c r="D109" s="395"/>
      <c r="J109" s="3" t="s">
        <v>86</v>
      </c>
      <c r="K109" s="1" t="s">
        <v>175</v>
      </c>
      <c r="O109" s="1" t="s">
        <v>90</v>
      </c>
    </row>
    <row r="110" spans="1:19" x14ac:dyDescent="0.3">
      <c r="A110" s="395" t="s">
        <v>83</v>
      </c>
      <c r="B110" s="395"/>
      <c r="C110" s="395"/>
      <c r="D110" s="395"/>
      <c r="K110" s="1" t="s">
        <v>651</v>
      </c>
    </row>
    <row r="111" spans="1:19" ht="9.75" customHeight="1" x14ac:dyDescent="0.3"/>
    <row r="112" spans="1:19" ht="14.25" customHeight="1" x14ac:dyDescent="0.3">
      <c r="J112" s="3" t="s">
        <v>88</v>
      </c>
      <c r="K112" s="1" t="s">
        <v>87</v>
      </c>
      <c r="O112" s="1" t="s">
        <v>90</v>
      </c>
    </row>
    <row r="113" spans="1:15" x14ac:dyDescent="0.3">
      <c r="K113" s="1" t="s">
        <v>91</v>
      </c>
    </row>
    <row r="114" spans="1:15" ht="13.5" customHeight="1" x14ac:dyDescent="0.3">
      <c r="A114" s="398" t="s">
        <v>175</v>
      </c>
      <c r="B114" s="398"/>
      <c r="C114" s="398"/>
      <c r="D114" s="398"/>
    </row>
    <row r="115" spans="1:15" x14ac:dyDescent="0.3">
      <c r="A115" s="395" t="s">
        <v>190</v>
      </c>
      <c r="B115" s="395"/>
      <c r="C115" s="395"/>
      <c r="D115" s="395"/>
      <c r="J115" s="1" t="s">
        <v>254</v>
      </c>
      <c r="K115" s="1" t="s">
        <v>89</v>
      </c>
      <c r="O115" s="1" t="s">
        <v>90</v>
      </c>
    </row>
    <row r="116" spans="1:15" x14ac:dyDescent="0.3">
      <c r="K116" s="1" t="s">
        <v>92</v>
      </c>
    </row>
    <row r="117" spans="1:15" ht="8.25" customHeight="1" x14ac:dyDescent="0.3"/>
    <row r="118" spans="1:15" x14ac:dyDescent="0.3">
      <c r="J118" s="241" t="s">
        <v>265</v>
      </c>
      <c r="K118" s="1" t="s">
        <v>652</v>
      </c>
      <c r="O118" s="1" t="s">
        <v>90</v>
      </c>
    </row>
    <row r="119" spans="1:15" ht="14.25" customHeight="1" x14ac:dyDescent="0.3">
      <c r="J119" s="241"/>
      <c r="K119" s="1" t="s">
        <v>658</v>
      </c>
    </row>
    <row r="120" spans="1:15" ht="5.25" customHeight="1" x14ac:dyDescent="0.3">
      <c r="J120" s="241"/>
    </row>
    <row r="121" spans="1:15" x14ac:dyDescent="0.3">
      <c r="J121" s="241" t="s">
        <v>650</v>
      </c>
      <c r="K121" s="1" t="s">
        <v>255</v>
      </c>
      <c r="O121" s="1" t="s">
        <v>90</v>
      </c>
    </row>
    <row r="122" spans="1:15" x14ac:dyDescent="0.3">
      <c r="K122" s="1" t="s">
        <v>654</v>
      </c>
    </row>
  </sheetData>
  <mergeCells count="24">
    <mergeCell ref="O34:O40"/>
    <mergeCell ref="A1:Q1"/>
    <mergeCell ref="A2:Q2"/>
    <mergeCell ref="A6:A7"/>
    <mergeCell ref="B6:C6"/>
    <mergeCell ref="D6:D7"/>
    <mergeCell ref="E6:E7"/>
    <mergeCell ref="F6:H6"/>
    <mergeCell ref="I6:M6"/>
    <mergeCell ref="N6:O7"/>
    <mergeCell ref="P6:P7"/>
    <mergeCell ref="Q6:Q7"/>
    <mergeCell ref="B7:C7"/>
    <mergeCell ref="B24:C24"/>
    <mergeCell ref="O26:O31"/>
    <mergeCell ref="B32:C32"/>
    <mergeCell ref="A114:D114"/>
    <mergeCell ref="A115:D115"/>
    <mergeCell ref="O42:O54"/>
    <mergeCell ref="O56:O61"/>
    <mergeCell ref="A107:D107"/>
    <mergeCell ref="A108:D108"/>
    <mergeCell ref="A109:D109"/>
    <mergeCell ref="A110:D110"/>
  </mergeCells>
  <pageMargins left="0.36" right="0.70866141732283472" top="0.74803149606299213" bottom="0.74803149606299213" header="0.31496062992125984" footer="0.31496062992125984"/>
  <pageSetup paperSize="5" scale="90" orientation="landscape" horizontalDpi="4294967293"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T122"/>
  <sheetViews>
    <sheetView view="pageBreakPreview" topLeftCell="A103" zoomScale="96" zoomScaleNormal="100" zoomScaleSheetLayoutView="96" workbookViewId="0">
      <selection activeCell="M131" sqref="M131"/>
    </sheetView>
  </sheetViews>
  <sheetFormatPr defaultColWidth="9.1796875" defaultRowHeight="14" x14ac:dyDescent="0.3"/>
  <cols>
    <col min="1" max="1" width="4.81640625" style="1" customWidth="1"/>
    <col min="2" max="2" width="2.1796875" style="1" customWidth="1"/>
    <col min="3" max="3" width="16.26953125" style="1" customWidth="1"/>
    <col min="4" max="4" width="12" style="1" customWidth="1"/>
    <col min="5" max="5" width="30.54296875" style="1" customWidth="1"/>
    <col min="6" max="6" width="11" style="1" bestFit="1" customWidth="1"/>
    <col min="7" max="7" width="8.81640625" style="1" customWidth="1"/>
    <col min="8" max="8" width="9" style="1" customWidth="1"/>
    <col min="9" max="9" width="6.7265625" style="1" customWidth="1"/>
    <col min="10" max="10" width="7" style="1" customWidth="1"/>
    <col min="11" max="12" width="7.54296875" style="1" customWidth="1"/>
    <col min="13" max="13" width="6.81640625" style="1" bestFit="1" customWidth="1"/>
    <col min="14" max="14" width="2" style="1" customWidth="1"/>
    <col min="15" max="15" width="17" style="1" customWidth="1"/>
    <col min="16" max="16" width="12.26953125" style="1" customWidth="1"/>
    <col min="17" max="17" width="8.81640625" style="1" customWidth="1"/>
    <col min="18" max="19" width="9.1796875" style="1"/>
    <col min="20" max="20" width="10.7265625" style="1" customWidth="1"/>
    <col min="21" max="16384" width="9.1796875" style="1"/>
  </cols>
  <sheetData>
    <row r="1" spans="1:20" x14ac:dyDescent="0.3">
      <c r="A1" s="385" t="s">
        <v>260</v>
      </c>
      <c r="B1" s="385"/>
      <c r="C1" s="385"/>
      <c r="D1" s="385"/>
      <c r="E1" s="385"/>
      <c r="F1" s="385"/>
      <c r="G1" s="385"/>
      <c r="H1" s="385"/>
      <c r="I1" s="385"/>
      <c r="J1" s="385"/>
      <c r="K1" s="385"/>
      <c r="L1" s="385"/>
      <c r="M1" s="385"/>
      <c r="N1" s="385"/>
      <c r="O1" s="385"/>
      <c r="P1" s="385"/>
      <c r="Q1" s="385"/>
    </row>
    <row r="2" spans="1:20" ht="14.25" customHeight="1" x14ac:dyDescent="0.3">
      <c r="A2" s="385" t="s">
        <v>646</v>
      </c>
      <c r="B2" s="385"/>
      <c r="C2" s="385"/>
      <c r="D2" s="385"/>
      <c r="E2" s="385"/>
      <c r="F2" s="385"/>
      <c r="G2" s="385"/>
      <c r="H2" s="385"/>
      <c r="I2" s="385"/>
      <c r="J2" s="385"/>
      <c r="K2" s="385"/>
      <c r="L2" s="385"/>
      <c r="M2" s="385"/>
      <c r="N2" s="385"/>
      <c r="O2" s="385"/>
      <c r="P2" s="385"/>
      <c r="Q2" s="385"/>
    </row>
    <row r="3" spans="1:20" ht="14.25" customHeight="1" x14ac:dyDescent="0.3">
      <c r="A3" s="1" t="s">
        <v>1</v>
      </c>
      <c r="C3" s="1" t="s">
        <v>603</v>
      </c>
    </row>
    <row r="4" spans="1:20" ht="14.25" customHeight="1" x14ac:dyDescent="0.3">
      <c r="A4" s="1" t="s">
        <v>2</v>
      </c>
      <c r="C4" s="1" t="s">
        <v>667</v>
      </c>
      <c r="D4" s="4"/>
    </row>
    <row r="5" spans="1:20" ht="6" customHeight="1" x14ac:dyDescent="0.3"/>
    <row r="6" spans="1:20" x14ac:dyDescent="0.3">
      <c r="A6" s="386" t="s">
        <v>3</v>
      </c>
      <c r="B6" s="388" t="s">
        <v>4</v>
      </c>
      <c r="C6" s="388"/>
      <c r="D6" s="391" t="s">
        <v>259</v>
      </c>
      <c r="E6" s="391" t="s">
        <v>7</v>
      </c>
      <c r="F6" s="393" t="s">
        <v>170</v>
      </c>
      <c r="G6" s="393"/>
      <c r="H6" s="393"/>
      <c r="I6" s="393" t="s">
        <v>12</v>
      </c>
      <c r="J6" s="393"/>
      <c r="K6" s="393"/>
      <c r="L6" s="393"/>
      <c r="M6" s="393"/>
      <c r="N6" s="391" t="s">
        <v>17</v>
      </c>
      <c r="O6" s="391"/>
      <c r="P6" s="391" t="s">
        <v>258</v>
      </c>
      <c r="Q6" s="386" t="s">
        <v>192</v>
      </c>
    </row>
    <row r="7" spans="1:20" ht="24.75" customHeight="1" x14ac:dyDescent="0.3">
      <c r="A7" s="387"/>
      <c r="B7" s="394" t="s">
        <v>5</v>
      </c>
      <c r="C7" s="394"/>
      <c r="D7" s="392"/>
      <c r="E7" s="392"/>
      <c r="F7" s="147" t="s">
        <v>9</v>
      </c>
      <c r="G7" s="147" t="s">
        <v>10</v>
      </c>
      <c r="H7" s="147" t="s">
        <v>11</v>
      </c>
      <c r="I7" s="147" t="s">
        <v>16</v>
      </c>
      <c r="J7" s="147" t="s">
        <v>13</v>
      </c>
      <c r="K7" s="147" t="s">
        <v>14</v>
      </c>
      <c r="L7" s="148" t="s">
        <v>257</v>
      </c>
      <c r="M7" s="147" t="s">
        <v>11</v>
      </c>
      <c r="N7" s="392"/>
      <c r="O7" s="392"/>
      <c r="P7" s="392"/>
      <c r="Q7" s="387"/>
    </row>
    <row r="8" spans="1:20" ht="6" customHeight="1" x14ac:dyDescent="0.3">
      <c r="A8" s="5"/>
      <c r="B8" s="8"/>
      <c r="C8" s="10"/>
      <c r="D8" s="5"/>
      <c r="E8" s="5"/>
      <c r="F8" s="5"/>
      <c r="G8" s="5"/>
      <c r="H8" s="5"/>
      <c r="I8" s="5"/>
      <c r="J8" s="5"/>
      <c r="K8" s="5"/>
      <c r="L8" s="5"/>
      <c r="M8" s="5"/>
      <c r="N8" s="8"/>
      <c r="O8" s="10"/>
      <c r="P8" s="10"/>
      <c r="Q8" s="5"/>
    </row>
    <row r="9" spans="1:20" ht="17.25" customHeight="1" x14ac:dyDescent="0.3">
      <c r="A9" s="13">
        <v>1</v>
      </c>
      <c r="B9" s="14" t="s">
        <v>20</v>
      </c>
      <c r="C9" s="15"/>
      <c r="D9" s="16"/>
      <c r="E9" s="47"/>
      <c r="F9" s="16"/>
      <c r="G9" s="16"/>
      <c r="H9" s="16"/>
      <c r="I9" s="16"/>
      <c r="J9" s="16"/>
      <c r="K9" s="16"/>
      <c r="L9" s="16"/>
      <c r="M9" s="16"/>
      <c r="N9" s="35"/>
      <c r="O9" s="36"/>
      <c r="P9" s="226"/>
      <c r="Q9" s="16"/>
    </row>
    <row r="10" spans="1:20" ht="28.5" customHeight="1" x14ac:dyDescent="0.3">
      <c r="A10" s="13"/>
      <c r="B10" s="17" t="s">
        <v>57</v>
      </c>
      <c r="C10" s="15" t="s">
        <v>21</v>
      </c>
      <c r="D10" s="18">
        <v>430.06</v>
      </c>
      <c r="E10" s="49" t="s">
        <v>649</v>
      </c>
      <c r="F10" s="26">
        <f>2%*D10</f>
        <v>8.6012000000000004</v>
      </c>
      <c r="G10" s="26">
        <f>0.5%*D10</f>
        <v>2.1503000000000001</v>
      </c>
      <c r="H10" s="26">
        <f>SUM(F10:G10)</f>
        <v>10.7515</v>
      </c>
      <c r="I10" s="19">
        <v>0</v>
      </c>
      <c r="J10" s="19"/>
      <c r="K10" s="19"/>
      <c r="L10" s="19">
        <v>3</v>
      </c>
      <c r="M10" s="20">
        <f>SUM(I10:L10)</f>
        <v>3</v>
      </c>
      <c r="N10" s="37"/>
      <c r="O10" s="36"/>
      <c r="P10" s="227">
        <f t="shared" ref="P10:P23" si="0">G10*0.261*12%*0</f>
        <v>0</v>
      </c>
      <c r="Q10" s="16"/>
      <c r="S10" s="1" t="s">
        <v>333</v>
      </c>
      <c r="T10" s="1" t="s">
        <v>341</v>
      </c>
    </row>
    <row r="11" spans="1:20" ht="18.75" customHeight="1" x14ac:dyDescent="0.3">
      <c r="A11" s="13"/>
      <c r="B11" s="14"/>
      <c r="C11" s="15"/>
      <c r="D11" s="18"/>
      <c r="E11" s="47" t="s">
        <v>37</v>
      </c>
      <c r="F11" s="26">
        <f>3%*D10</f>
        <v>12.9018</v>
      </c>
      <c r="G11" s="26">
        <f>0.4%*D10</f>
        <v>1.72024</v>
      </c>
      <c r="H11" s="26">
        <f>SUM(F11:G11)</f>
        <v>14.62204</v>
      </c>
      <c r="I11" s="19">
        <v>0</v>
      </c>
      <c r="J11" s="19"/>
      <c r="K11" s="19"/>
      <c r="L11" s="19">
        <v>5</v>
      </c>
      <c r="M11" s="20">
        <f t="shared" ref="M11:M23" si="1">SUM(I11:L11)</f>
        <v>5</v>
      </c>
      <c r="N11" s="37" t="s">
        <v>51</v>
      </c>
      <c r="O11" s="38" t="s">
        <v>50</v>
      </c>
      <c r="P11" s="227">
        <f t="shared" si="0"/>
        <v>0</v>
      </c>
      <c r="Q11" s="16"/>
    </row>
    <row r="12" spans="1:20" ht="18.75" customHeight="1" x14ac:dyDescent="0.3">
      <c r="A12" s="13"/>
      <c r="B12" s="14"/>
      <c r="C12" s="15"/>
      <c r="D12" s="18"/>
      <c r="E12" s="47" t="s">
        <v>38</v>
      </c>
      <c r="F12" s="26">
        <f>1%*D10</f>
        <v>4.3006000000000002</v>
      </c>
      <c r="G12" s="26">
        <f>3%*D10</f>
        <v>12.9018</v>
      </c>
      <c r="H12" s="26">
        <f>SUM(F12:G12)</f>
        <v>17.202400000000001</v>
      </c>
      <c r="I12" s="19">
        <v>0</v>
      </c>
      <c r="J12" s="19"/>
      <c r="K12" s="19"/>
      <c r="L12" s="19">
        <v>6</v>
      </c>
      <c r="M12" s="20">
        <f t="shared" si="1"/>
        <v>6</v>
      </c>
      <c r="N12" s="37" t="s">
        <v>51</v>
      </c>
      <c r="O12" s="36" t="s">
        <v>632</v>
      </c>
      <c r="P12" s="227">
        <f t="shared" si="0"/>
        <v>0</v>
      </c>
      <c r="Q12" s="16"/>
      <c r="S12" s="1" t="s">
        <v>343</v>
      </c>
    </row>
    <row r="13" spans="1:20" ht="24" customHeight="1" x14ac:dyDescent="0.3">
      <c r="A13" s="13"/>
      <c r="B13" s="14"/>
      <c r="C13" s="15"/>
      <c r="D13" s="18"/>
      <c r="E13" s="48" t="s">
        <v>39</v>
      </c>
      <c r="F13" s="96">
        <f>13%*D10</f>
        <v>55.907800000000002</v>
      </c>
      <c r="G13" s="96">
        <f>6%*D10</f>
        <v>25.803599999999999</v>
      </c>
      <c r="H13" s="96">
        <f>SUM(F13:G13)</f>
        <v>81.711399999999998</v>
      </c>
      <c r="I13" s="97">
        <v>0</v>
      </c>
      <c r="J13" s="97">
        <v>0</v>
      </c>
      <c r="K13" s="97">
        <v>0</v>
      </c>
      <c r="L13" s="97">
        <v>4</v>
      </c>
      <c r="M13" s="121">
        <f t="shared" si="1"/>
        <v>4</v>
      </c>
      <c r="N13" s="39" t="s">
        <v>51</v>
      </c>
      <c r="O13" s="40" t="s">
        <v>48</v>
      </c>
      <c r="P13" s="227">
        <f t="shared" si="0"/>
        <v>0</v>
      </c>
      <c r="Q13" s="16"/>
      <c r="S13" s="1" t="s">
        <v>342</v>
      </c>
    </row>
    <row r="14" spans="1:20" ht="18.75" customHeight="1" x14ac:dyDescent="0.3">
      <c r="A14" s="13"/>
      <c r="B14" s="17" t="s">
        <v>58</v>
      </c>
      <c r="C14" s="15" t="s">
        <v>22</v>
      </c>
      <c r="D14" s="18">
        <v>856.82</v>
      </c>
      <c r="E14" s="47" t="s">
        <v>36</v>
      </c>
      <c r="F14" s="26">
        <f>3%*D14</f>
        <v>25.704599999999999</v>
      </c>
      <c r="G14" s="26">
        <f>5%*D14</f>
        <v>42.841000000000008</v>
      </c>
      <c r="H14" s="26">
        <f>SUM(F14:G14)</f>
        <v>68.545600000000007</v>
      </c>
      <c r="I14" s="19">
        <v>0</v>
      </c>
      <c r="J14" s="19"/>
      <c r="K14" s="19"/>
      <c r="L14" s="19">
        <v>5</v>
      </c>
      <c r="M14" s="20">
        <f t="shared" si="1"/>
        <v>5</v>
      </c>
      <c r="N14" s="35" t="s">
        <v>51</v>
      </c>
      <c r="O14" s="41" t="s">
        <v>137</v>
      </c>
      <c r="P14" s="227">
        <f t="shared" si="0"/>
        <v>0</v>
      </c>
      <c r="Q14" s="16"/>
    </row>
    <row r="15" spans="1:20" ht="18.75" customHeight="1" x14ac:dyDescent="0.3">
      <c r="A15" s="13"/>
      <c r="B15" s="14"/>
      <c r="C15" s="15"/>
      <c r="D15" s="26"/>
      <c r="E15" s="47" t="s">
        <v>37</v>
      </c>
      <c r="F15" s="26">
        <f>4%*D14</f>
        <v>34.272800000000004</v>
      </c>
      <c r="G15" s="26">
        <f>2%*D14</f>
        <v>17.136400000000002</v>
      </c>
      <c r="H15" s="26">
        <f t="shared" ref="H15:H17" si="2">SUM(F15:G15)</f>
        <v>51.409200000000006</v>
      </c>
      <c r="I15" s="19">
        <v>0</v>
      </c>
      <c r="J15" s="19"/>
      <c r="K15" s="19"/>
      <c r="L15" s="19">
        <v>5</v>
      </c>
      <c r="M15" s="20">
        <f t="shared" si="1"/>
        <v>5</v>
      </c>
      <c r="N15" s="35"/>
      <c r="O15" s="36"/>
      <c r="P15" s="227">
        <f t="shared" si="0"/>
        <v>0</v>
      </c>
      <c r="Q15" s="16"/>
      <c r="S15" s="1" t="s">
        <v>344</v>
      </c>
    </row>
    <row r="16" spans="1:20" ht="18.75" customHeight="1" x14ac:dyDescent="0.3">
      <c r="A16" s="13"/>
      <c r="B16" s="14"/>
      <c r="C16" s="15"/>
      <c r="D16" s="26"/>
      <c r="E16" s="47" t="s">
        <v>38</v>
      </c>
      <c r="F16" s="26">
        <f>3%*D14</f>
        <v>25.704599999999999</v>
      </c>
      <c r="G16" s="26">
        <f>2%*D14</f>
        <v>17.136400000000002</v>
      </c>
      <c r="H16" s="26">
        <f t="shared" si="2"/>
        <v>42.841000000000001</v>
      </c>
      <c r="I16" s="19">
        <v>0</v>
      </c>
      <c r="J16" s="19"/>
      <c r="K16" s="19"/>
      <c r="L16" s="19">
        <v>6</v>
      </c>
      <c r="M16" s="20">
        <f t="shared" si="1"/>
        <v>6</v>
      </c>
      <c r="N16" s="35"/>
      <c r="O16" s="36"/>
      <c r="P16" s="227">
        <f t="shared" si="0"/>
        <v>0</v>
      </c>
      <c r="Q16" s="16"/>
      <c r="S16" s="1" t="s">
        <v>345</v>
      </c>
    </row>
    <row r="17" spans="1:20" ht="21" customHeight="1" x14ac:dyDescent="0.3">
      <c r="A17" s="54"/>
      <c r="B17" s="55"/>
      <c r="C17" s="56"/>
      <c r="D17" s="57"/>
      <c r="E17" s="58" t="s">
        <v>39</v>
      </c>
      <c r="F17" s="119">
        <f>3%*D14</f>
        <v>25.704599999999999</v>
      </c>
      <c r="G17" s="119">
        <f>2%*D14</f>
        <v>17.136400000000002</v>
      </c>
      <c r="H17" s="119">
        <f t="shared" si="2"/>
        <v>42.841000000000001</v>
      </c>
      <c r="I17" s="59">
        <v>0</v>
      </c>
      <c r="J17" s="59">
        <v>0</v>
      </c>
      <c r="K17" s="59">
        <v>0</v>
      </c>
      <c r="L17" s="59">
        <v>3</v>
      </c>
      <c r="M17" s="60">
        <f t="shared" si="1"/>
        <v>3</v>
      </c>
      <c r="N17" s="42"/>
      <c r="O17" s="38"/>
      <c r="P17" s="228">
        <f t="shared" si="0"/>
        <v>0</v>
      </c>
      <c r="Q17" s="29"/>
    </row>
    <row r="18" spans="1:20" ht="18.75" customHeight="1" x14ac:dyDescent="0.3">
      <c r="A18" s="54"/>
      <c r="B18" s="55" t="s">
        <v>59</v>
      </c>
      <c r="C18" s="56" t="s">
        <v>27</v>
      </c>
      <c r="D18" s="18">
        <v>113.45</v>
      </c>
      <c r="E18" s="47" t="s">
        <v>36</v>
      </c>
      <c r="F18" s="26">
        <f>26%*D18</f>
        <v>29.497000000000003</v>
      </c>
      <c r="G18" s="26">
        <f>2%*F18</f>
        <v>0.58994000000000013</v>
      </c>
      <c r="H18" s="26">
        <f>SUM(F18:G18)</f>
        <v>30.086940000000002</v>
      </c>
      <c r="I18" s="19">
        <v>0</v>
      </c>
      <c r="J18" s="19"/>
      <c r="K18" s="19"/>
      <c r="L18" s="19"/>
      <c r="M18" s="20">
        <f t="shared" si="1"/>
        <v>0</v>
      </c>
      <c r="N18" s="42"/>
      <c r="O18" s="38"/>
      <c r="P18" s="227">
        <f t="shared" si="0"/>
        <v>0</v>
      </c>
      <c r="Q18" s="29"/>
    </row>
    <row r="19" spans="1:20" ht="19.5" customHeight="1" x14ac:dyDescent="0.3">
      <c r="A19" s="54"/>
      <c r="B19" s="55"/>
      <c r="C19" s="56"/>
      <c r="D19" s="26"/>
      <c r="E19" s="47" t="s">
        <v>37</v>
      </c>
      <c r="F19" s="26">
        <f>3%*D18</f>
        <v>3.4034999999999997</v>
      </c>
      <c r="G19" s="26">
        <f>4%*D18</f>
        <v>4.5380000000000003</v>
      </c>
      <c r="H19" s="26">
        <f t="shared" ref="H19:H20" si="3">SUM(F19:G19)</f>
        <v>7.9414999999999996</v>
      </c>
      <c r="I19" s="19">
        <v>0</v>
      </c>
      <c r="J19" s="19"/>
      <c r="K19" s="19"/>
      <c r="L19" s="19">
        <v>7</v>
      </c>
      <c r="M19" s="20">
        <f t="shared" si="1"/>
        <v>7</v>
      </c>
      <c r="N19" s="42"/>
      <c r="O19" s="38"/>
      <c r="P19" s="227">
        <f t="shared" si="0"/>
        <v>0</v>
      </c>
      <c r="Q19" s="29"/>
    </row>
    <row r="20" spans="1:20" ht="17.25" customHeight="1" x14ac:dyDescent="0.3">
      <c r="A20" s="54"/>
      <c r="B20" s="55"/>
      <c r="C20" s="56"/>
      <c r="D20" s="26"/>
      <c r="E20" s="47" t="s">
        <v>38</v>
      </c>
      <c r="F20" s="26">
        <f>4%*D18</f>
        <v>4.5380000000000003</v>
      </c>
      <c r="G20" s="26">
        <f>3%*D18</f>
        <v>3.4034999999999997</v>
      </c>
      <c r="H20" s="26">
        <f t="shared" si="3"/>
        <v>7.9414999999999996</v>
      </c>
      <c r="I20" s="19">
        <v>0</v>
      </c>
      <c r="J20" s="19"/>
      <c r="K20" s="19"/>
      <c r="L20" s="19">
        <v>3</v>
      </c>
      <c r="M20" s="20">
        <f t="shared" si="1"/>
        <v>3</v>
      </c>
      <c r="N20" s="42"/>
      <c r="O20" s="38"/>
      <c r="P20" s="227">
        <f t="shared" si="0"/>
        <v>0</v>
      </c>
      <c r="Q20" s="29"/>
    </row>
    <row r="21" spans="1:20" ht="21.75" customHeight="1" x14ac:dyDescent="0.3">
      <c r="A21" s="13"/>
      <c r="B21" s="17" t="s">
        <v>60</v>
      </c>
      <c r="C21" s="15" t="s">
        <v>42</v>
      </c>
      <c r="D21" s="18">
        <v>527.28</v>
      </c>
      <c r="E21" s="47" t="s">
        <v>36</v>
      </c>
      <c r="F21" s="26">
        <f>36%*D18</f>
        <v>40.841999999999999</v>
      </c>
      <c r="G21" s="26">
        <f>3%*D21</f>
        <v>15.818399999999999</v>
      </c>
      <c r="H21" s="26">
        <f>SUM(F21:G21)</f>
        <v>56.660399999999996</v>
      </c>
      <c r="I21" s="19">
        <v>0</v>
      </c>
      <c r="J21" s="19"/>
      <c r="K21" s="19"/>
      <c r="L21" s="19">
        <v>6</v>
      </c>
      <c r="M21" s="20">
        <f t="shared" si="1"/>
        <v>6</v>
      </c>
      <c r="N21" s="35"/>
      <c r="O21" s="36"/>
      <c r="P21" s="227">
        <f t="shared" si="0"/>
        <v>0</v>
      </c>
      <c r="Q21" s="29"/>
    </row>
    <row r="22" spans="1:20" ht="18.75" customHeight="1" x14ac:dyDescent="0.3">
      <c r="A22" s="13"/>
      <c r="B22" s="14"/>
      <c r="C22" s="15"/>
      <c r="D22" s="26"/>
      <c r="E22" s="47" t="s">
        <v>37</v>
      </c>
      <c r="F22" s="26">
        <f>30%*D21</f>
        <v>158.184</v>
      </c>
      <c r="G22" s="26">
        <f>3%*D21</f>
        <v>15.818399999999999</v>
      </c>
      <c r="H22" s="26">
        <f t="shared" ref="H22:H23" si="4">SUM(F22:G22)</f>
        <v>174.00239999999999</v>
      </c>
      <c r="I22" s="19">
        <v>0</v>
      </c>
      <c r="J22" s="19"/>
      <c r="K22" s="19"/>
      <c r="L22" s="19">
        <v>6</v>
      </c>
      <c r="M22" s="20">
        <f t="shared" si="1"/>
        <v>6</v>
      </c>
      <c r="N22" s="35"/>
      <c r="O22" s="36"/>
      <c r="P22" s="227">
        <f t="shared" si="0"/>
        <v>0</v>
      </c>
      <c r="Q22" s="29"/>
    </row>
    <row r="23" spans="1:20" ht="18" customHeight="1" x14ac:dyDescent="0.3">
      <c r="A23" s="13"/>
      <c r="B23" s="14"/>
      <c r="C23" s="15"/>
      <c r="D23" s="26"/>
      <c r="E23" s="47" t="s">
        <v>38</v>
      </c>
      <c r="F23" s="26">
        <f>3%*D21</f>
        <v>15.818399999999999</v>
      </c>
      <c r="G23" s="26">
        <f>7%*D21</f>
        <v>36.909600000000005</v>
      </c>
      <c r="H23" s="26">
        <f t="shared" si="4"/>
        <v>52.728000000000002</v>
      </c>
      <c r="I23" s="19">
        <v>0</v>
      </c>
      <c r="J23" s="19"/>
      <c r="K23" s="19"/>
      <c r="L23" s="19">
        <v>4</v>
      </c>
      <c r="M23" s="20">
        <f t="shared" si="1"/>
        <v>4</v>
      </c>
      <c r="N23" s="80"/>
      <c r="O23" s="81"/>
      <c r="P23" s="227">
        <f t="shared" si="0"/>
        <v>0</v>
      </c>
      <c r="Q23" s="88"/>
    </row>
    <row r="24" spans="1:20" ht="18.75" customHeight="1" x14ac:dyDescent="0.3">
      <c r="A24" s="89"/>
      <c r="B24" s="402" t="s">
        <v>325</v>
      </c>
      <c r="C24" s="403"/>
      <c r="D24" s="73">
        <f>SUM(D9:D17)</f>
        <v>1286.8800000000001</v>
      </c>
      <c r="E24" s="74"/>
      <c r="F24" s="118">
        <f>SUM(F9:F17)</f>
        <v>193.09800000000001</v>
      </c>
      <c r="G24" s="118">
        <f>SUM(G9:G17)</f>
        <v>136.82614000000004</v>
      </c>
      <c r="H24" s="118">
        <f>SUM(H9:H17)</f>
        <v>329.92414000000002</v>
      </c>
      <c r="I24" s="75">
        <f>SUM(I9:I17)</f>
        <v>0</v>
      </c>
      <c r="J24" s="75">
        <f>SUM(J9:J17)</f>
        <v>0</v>
      </c>
      <c r="K24" s="75">
        <f>SUM(K8:K23)</f>
        <v>0</v>
      </c>
      <c r="L24" s="160">
        <f>SUM(L10:L23)</f>
        <v>63</v>
      </c>
      <c r="M24" s="160">
        <f>SUM(M10:M23)</f>
        <v>63</v>
      </c>
      <c r="N24" s="76"/>
      <c r="O24" s="77"/>
      <c r="P24" s="229">
        <f>SUM(P10:P23)</f>
        <v>0</v>
      </c>
      <c r="Q24" s="75"/>
    </row>
    <row r="25" spans="1:20" ht="17.25" customHeight="1" x14ac:dyDescent="0.3">
      <c r="A25" s="63">
        <v>2</v>
      </c>
      <c r="B25" s="64" t="s">
        <v>23</v>
      </c>
      <c r="C25" s="65"/>
      <c r="D25" s="66"/>
      <c r="E25" s="67"/>
      <c r="F25" s="68"/>
      <c r="G25" s="68"/>
      <c r="H25" s="68"/>
      <c r="I25" s="68"/>
      <c r="J25" s="68"/>
      <c r="K25" s="68"/>
      <c r="L25" s="68"/>
      <c r="M25" s="68"/>
      <c r="N25" s="69"/>
      <c r="O25" s="70"/>
      <c r="P25" s="230"/>
      <c r="Q25" s="68"/>
      <c r="S25" s="1" t="s">
        <v>333</v>
      </c>
    </row>
    <row r="26" spans="1:20" ht="16.5" customHeight="1" x14ac:dyDescent="0.3">
      <c r="A26" s="13"/>
      <c r="B26" s="14" t="s">
        <v>57</v>
      </c>
      <c r="C26" s="15" t="s">
        <v>22</v>
      </c>
      <c r="D26" s="26">
        <v>203.28</v>
      </c>
      <c r="E26" s="47" t="s">
        <v>40</v>
      </c>
      <c r="F26" s="19">
        <f>25%*D26</f>
        <v>50.82</v>
      </c>
      <c r="G26" s="224">
        <f>2%*D26</f>
        <v>4.0655999999999999</v>
      </c>
      <c r="H26" s="19">
        <f t="shared" ref="H26" si="5">SUM(F26:G26)</f>
        <v>54.885599999999997</v>
      </c>
      <c r="I26" s="19">
        <v>0</v>
      </c>
      <c r="J26" s="19">
        <v>0</v>
      </c>
      <c r="K26" s="19">
        <v>0</v>
      </c>
      <c r="L26" s="19">
        <v>3</v>
      </c>
      <c r="M26" s="20">
        <f t="shared" ref="M26:M31" si="6">SUM(I26:L26)</f>
        <v>3</v>
      </c>
      <c r="N26" s="37" t="s">
        <v>51</v>
      </c>
      <c r="O26" s="404" t="s">
        <v>633</v>
      </c>
      <c r="P26" s="231">
        <f t="shared" ref="P26:P31" si="7">G26*0.52*20%*19000000</f>
        <v>8033625.6000000006</v>
      </c>
      <c r="Q26" s="16"/>
      <c r="S26" s="1" t="s">
        <v>659</v>
      </c>
      <c r="T26" s="1" t="s">
        <v>661</v>
      </c>
    </row>
    <row r="27" spans="1:20" ht="16.5" customHeight="1" x14ac:dyDescent="0.3">
      <c r="A27" s="54"/>
      <c r="B27" s="55"/>
      <c r="C27" s="56"/>
      <c r="D27" s="57"/>
      <c r="E27" s="47" t="s">
        <v>629</v>
      </c>
      <c r="F27" s="19">
        <f>25%*D27</f>
        <v>0</v>
      </c>
      <c r="G27" s="224">
        <f>3%*D26</f>
        <v>6.0983999999999998</v>
      </c>
      <c r="H27" s="135">
        <f t="shared" ref="H27:H28" si="8">SUM(F27:G27)</f>
        <v>6.0983999999999998</v>
      </c>
      <c r="I27" s="19"/>
      <c r="J27" s="19"/>
      <c r="K27" s="19"/>
      <c r="L27" s="19">
        <v>3</v>
      </c>
      <c r="M27" s="20">
        <f t="shared" si="6"/>
        <v>3</v>
      </c>
      <c r="N27" s="37"/>
      <c r="O27" s="404"/>
      <c r="P27" s="231">
        <f t="shared" si="7"/>
        <v>12050438.4</v>
      </c>
      <c r="Q27" s="16"/>
    </row>
    <row r="28" spans="1:20" ht="14.25" customHeight="1" x14ac:dyDescent="0.3">
      <c r="A28" s="54"/>
      <c r="B28" s="55" t="s">
        <v>58</v>
      </c>
      <c r="C28" s="56" t="s">
        <v>42</v>
      </c>
      <c r="D28" s="57">
        <v>57</v>
      </c>
      <c r="E28" s="47" t="s">
        <v>40</v>
      </c>
      <c r="F28" s="19">
        <f>11%*D28</f>
        <v>6.2700000000000005</v>
      </c>
      <c r="G28" s="224">
        <f>3%*D28</f>
        <v>1.71</v>
      </c>
      <c r="H28" s="135">
        <f t="shared" si="8"/>
        <v>7.98</v>
      </c>
      <c r="I28" s="19">
        <v>0</v>
      </c>
      <c r="J28" s="19"/>
      <c r="K28" s="19">
        <v>0</v>
      </c>
      <c r="L28" s="19">
        <v>2</v>
      </c>
      <c r="M28" s="20">
        <f t="shared" si="6"/>
        <v>2</v>
      </c>
      <c r="N28" s="37"/>
      <c r="O28" s="404"/>
      <c r="P28" s="231">
        <f t="shared" si="7"/>
        <v>3378960</v>
      </c>
      <c r="Q28" s="16"/>
      <c r="S28" s="217" t="s">
        <v>660</v>
      </c>
      <c r="T28" s="1" t="s">
        <v>334</v>
      </c>
    </row>
    <row r="29" spans="1:20" ht="14.25" customHeight="1" x14ac:dyDescent="0.3">
      <c r="A29" s="54"/>
      <c r="B29" s="55"/>
      <c r="C29" s="56"/>
      <c r="D29" s="57"/>
      <c r="E29" s="47" t="s">
        <v>629</v>
      </c>
      <c r="F29" s="224">
        <f>10%*D28</f>
        <v>5.7</v>
      </c>
      <c r="G29" s="224">
        <f>4%*D28</f>
        <v>2.2800000000000002</v>
      </c>
      <c r="H29" s="224">
        <f>F29+G29</f>
        <v>7.98</v>
      </c>
      <c r="I29" s="19">
        <v>0</v>
      </c>
      <c r="J29" s="19"/>
      <c r="K29" s="19"/>
      <c r="L29" s="19">
        <v>2</v>
      </c>
      <c r="M29" s="20">
        <f t="shared" si="6"/>
        <v>2</v>
      </c>
      <c r="N29" s="37"/>
      <c r="O29" s="404"/>
      <c r="P29" s="231">
        <f t="shared" si="7"/>
        <v>4505280.0000000009</v>
      </c>
      <c r="Q29" s="16"/>
    </row>
    <row r="30" spans="1:20" ht="17.25" customHeight="1" x14ac:dyDescent="0.3">
      <c r="A30" s="54"/>
      <c r="B30" s="55" t="s">
        <v>59</v>
      </c>
      <c r="C30" s="56" t="s">
        <v>21</v>
      </c>
      <c r="D30" s="57">
        <v>72.94</v>
      </c>
      <c r="E30" s="47" t="s">
        <v>40</v>
      </c>
      <c r="F30" s="19">
        <f>4%*D30</f>
        <v>2.9175999999999997</v>
      </c>
      <c r="G30" s="224">
        <f>4%*D30</f>
        <v>2.9175999999999997</v>
      </c>
      <c r="H30" s="135">
        <f>F30+G30</f>
        <v>5.8351999999999995</v>
      </c>
      <c r="I30" s="19">
        <v>0</v>
      </c>
      <c r="J30" s="19">
        <v>0</v>
      </c>
      <c r="K30" s="19">
        <v>0</v>
      </c>
      <c r="L30" s="19">
        <v>3</v>
      </c>
      <c r="M30" s="20">
        <f t="shared" ref="M30" si="9">SUM(I30:L30)</f>
        <v>3</v>
      </c>
      <c r="N30" s="95"/>
      <c r="O30" s="399"/>
      <c r="P30" s="231">
        <f t="shared" si="7"/>
        <v>5765177.5999999996</v>
      </c>
      <c r="Q30" s="87"/>
    </row>
    <row r="31" spans="1:20" ht="16.5" customHeight="1" x14ac:dyDescent="0.3">
      <c r="A31" s="54"/>
      <c r="B31" s="55"/>
      <c r="C31" s="56"/>
      <c r="D31" s="57"/>
      <c r="E31" s="47" t="s">
        <v>629</v>
      </c>
      <c r="F31" s="19">
        <f>4%*D30</f>
        <v>2.9175999999999997</v>
      </c>
      <c r="G31" s="224">
        <f>3%*D30</f>
        <v>2.1881999999999997</v>
      </c>
      <c r="H31" s="135">
        <f>F31+G31</f>
        <v>5.1057999999999995</v>
      </c>
      <c r="I31" s="19">
        <v>0</v>
      </c>
      <c r="J31" s="19">
        <v>0</v>
      </c>
      <c r="K31" s="19">
        <v>0</v>
      </c>
      <c r="L31" s="19">
        <v>3</v>
      </c>
      <c r="M31" s="20">
        <f t="shared" si="6"/>
        <v>3</v>
      </c>
      <c r="N31" s="95"/>
      <c r="O31" s="399"/>
      <c r="P31" s="231">
        <f t="shared" si="7"/>
        <v>4323883.2</v>
      </c>
      <c r="Q31" s="87"/>
    </row>
    <row r="32" spans="1:20" ht="33.75" customHeight="1" x14ac:dyDescent="0.3">
      <c r="A32" s="89"/>
      <c r="B32" s="415" t="s">
        <v>326</v>
      </c>
      <c r="C32" s="416"/>
      <c r="D32" s="138">
        <f>SUM(D25:D31)</f>
        <v>333.21999999999997</v>
      </c>
      <c r="E32" s="242"/>
      <c r="F32" s="140">
        <f t="shared" ref="F32:K32" si="10">SUM(F25:F31)</f>
        <v>68.625199999999992</v>
      </c>
      <c r="G32" s="140">
        <f t="shared" si="10"/>
        <v>19.259799999999998</v>
      </c>
      <c r="H32" s="140">
        <f t="shared" si="10"/>
        <v>87.885000000000005</v>
      </c>
      <c r="I32" s="140">
        <f t="shared" si="10"/>
        <v>0</v>
      </c>
      <c r="J32" s="140">
        <f t="shared" si="10"/>
        <v>0</v>
      </c>
      <c r="K32" s="140">
        <f t="shared" si="10"/>
        <v>0</v>
      </c>
      <c r="L32" s="140">
        <f>SUM(L26:L31)</f>
        <v>16</v>
      </c>
      <c r="M32" s="140">
        <f>SUM(M25:M31)</f>
        <v>16</v>
      </c>
      <c r="N32" s="243"/>
      <c r="O32" s="244"/>
      <c r="P32" s="245">
        <f>SUM(P25:P31)</f>
        <v>38057364.800000004</v>
      </c>
      <c r="Q32" s="246"/>
    </row>
    <row r="33" spans="1:20" ht="14.25" customHeight="1" x14ac:dyDescent="0.3">
      <c r="A33" s="63">
        <v>3</v>
      </c>
      <c r="B33" s="64" t="s">
        <v>19</v>
      </c>
      <c r="C33" s="65"/>
      <c r="D33" s="66"/>
      <c r="E33" s="67"/>
      <c r="F33" s="82"/>
      <c r="G33" s="82"/>
      <c r="H33" s="82"/>
      <c r="I33" s="82"/>
      <c r="J33" s="82"/>
      <c r="K33" s="82"/>
      <c r="L33" s="82"/>
      <c r="M33" s="82"/>
      <c r="N33" s="69"/>
      <c r="O33" s="70"/>
      <c r="P33" s="233"/>
      <c r="Q33" s="68"/>
    </row>
    <row r="34" spans="1:20" ht="16.5" customHeight="1" x14ac:dyDescent="0.3">
      <c r="A34" s="13"/>
      <c r="B34" s="14" t="s">
        <v>57</v>
      </c>
      <c r="C34" s="15" t="s">
        <v>24</v>
      </c>
      <c r="D34" s="26">
        <f>1347+481.9+4</f>
        <v>1832.9</v>
      </c>
      <c r="E34" s="50" t="s">
        <v>52</v>
      </c>
      <c r="F34" s="19">
        <f>6%*D34</f>
        <v>109.974</v>
      </c>
      <c r="G34" s="26">
        <f>60%*D34</f>
        <v>1099.74</v>
      </c>
      <c r="H34" s="26">
        <f>SUM(F34:G34)</f>
        <v>1209.7139999999999</v>
      </c>
      <c r="I34" s="19">
        <v>0</v>
      </c>
      <c r="J34" s="19"/>
      <c r="K34" s="19"/>
      <c r="L34" s="19">
        <v>6</v>
      </c>
      <c r="M34" s="19">
        <f>SUM(I34:L34)</f>
        <v>6</v>
      </c>
      <c r="N34" s="35">
        <v>1</v>
      </c>
      <c r="O34" s="414" t="s">
        <v>642</v>
      </c>
      <c r="P34" s="234">
        <f t="shared" ref="P34:P63" si="11">G34*0.815*26%*3500000</f>
        <v>815622171</v>
      </c>
      <c r="Q34" s="16"/>
    </row>
    <row r="35" spans="1:20" ht="15" customHeight="1" x14ac:dyDescent="0.3">
      <c r="A35" s="13"/>
      <c r="B35" s="14"/>
      <c r="C35" s="15"/>
      <c r="D35" s="26"/>
      <c r="E35" s="47" t="s">
        <v>624</v>
      </c>
      <c r="F35" s="19">
        <f>8%*D34</f>
        <v>146.63200000000001</v>
      </c>
      <c r="G35" s="26">
        <f>5%*D34</f>
        <v>91.64500000000001</v>
      </c>
      <c r="H35" s="26">
        <f>F35+G35</f>
        <v>238.27700000000002</v>
      </c>
      <c r="I35" s="19">
        <v>0</v>
      </c>
      <c r="J35" s="19"/>
      <c r="K35" s="19">
        <v>0</v>
      </c>
      <c r="L35" s="19">
        <v>8</v>
      </c>
      <c r="M35" s="19">
        <f>SUM(I35:L35)</f>
        <v>8</v>
      </c>
      <c r="N35" s="35"/>
      <c r="O35" s="401"/>
      <c r="P35" s="234">
        <f t="shared" si="11"/>
        <v>67968514.25</v>
      </c>
      <c r="Q35" s="16"/>
    </row>
    <row r="36" spans="1:20" ht="16.5" customHeight="1" x14ac:dyDescent="0.3">
      <c r="A36" s="13"/>
      <c r="B36" s="14" t="s">
        <v>58</v>
      </c>
      <c r="C36" s="15" t="s">
        <v>25</v>
      </c>
      <c r="D36" s="26">
        <f>1378+343.2+4</f>
        <v>1725.2</v>
      </c>
      <c r="E36" s="50" t="s">
        <v>52</v>
      </c>
      <c r="F36" s="19">
        <f>8%*D36</f>
        <v>138.01600000000002</v>
      </c>
      <c r="G36" s="26">
        <f>10%*D36</f>
        <v>172.52</v>
      </c>
      <c r="H36" s="26">
        <f t="shared" ref="H36:H63" si="12">SUM(F36:G36)</f>
        <v>310.53600000000006</v>
      </c>
      <c r="I36" s="19">
        <v>0</v>
      </c>
      <c r="J36" s="19"/>
      <c r="K36" s="19">
        <v>0</v>
      </c>
      <c r="L36" s="19">
        <v>5</v>
      </c>
      <c r="M36" s="19">
        <f t="shared" ref="M36:M63" si="13">SUM(I36:L36)</f>
        <v>5</v>
      </c>
      <c r="N36" s="35"/>
      <c r="O36" s="401"/>
      <c r="P36" s="234">
        <f t="shared" si="11"/>
        <v>127949458.00000001</v>
      </c>
      <c r="Q36" s="16"/>
    </row>
    <row r="37" spans="1:20" ht="16.5" customHeight="1" x14ac:dyDescent="0.3">
      <c r="A37" s="13"/>
      <c r="B37" s="14" t="s">
        <v>59</v>
      </c>
      <c r="C37" s="15" t="s">
        <v>26</v>
      </c>
      <c r="D37" s="26">
        <f>1032+337+10</f>
        <v>1379</v>
      </c>
      <c r="E37" s="50" t="s">
        <v>52</v>
      </c>
      <c r="F37" s="19">
        <f>5%*D37</f>
        <v>68.95</v>
      </c>
      <c r="G37" s="26">
        <f>15%*D37</f>
        <v>206.85</v>
      </c>
      <c r="H37" s="26">
        <f t="shared" si="12"/>
        <v>275.8</v>
      </c>
      <c r="I37" s="19"/>
      <c r="J37" s="19"/>
      <c r="K37" s="19"/>
      <c r="L37" s="19">
        <v>3</v>
      </c>
      <c r="M37" s="19">
        <f t="shared" si="13"/>
        <v>3</v>
      </c>
      <c r="N37" s="35"/>
      <c r="O37" s="401"/>
      <c r="P37" s="234">
        <f t="shared" si="11"/>
        <v>153410302.5</v>
      </c>
      <c r="Q37" s="16"/>
      <c r="T37" s="1">
        <f>1379/16</f>
        <v>86.1875</v>
      </c>
    </row>
    <row r="38" spans="1:20" ht="16.5" customHeight="1" x14ac:dyDescent="0.3">
      <c r="A38" s="13"/>
      <c r="B38" s="14"/>
      <c r="C38" s="15"/>
      <c r="D38" s="26"/>
      <c r="E38" s="47" t="s">
        <v>624</v>
      </c>
      <c r="F38" s="19">
        <f>3%*D37</f>
        <v>41.37</v>
      </c>
      <c r="G38" s="26">
        <f>5%*D37</f>
        <v>68.95</v>
      </c>
      <c r="H38" s="26">
        <f>F38+G38</f>
        <v>110.32</v>
      </c>
      <c r="I38" s="19">
        <v>0</v>
      </c>
      <c r="J38" s="19"/>
      <c r="K38" s="19"/>
      <c r="L38" s="19">
        <v>4</v>
      </c>
      <c r="M38" s="19">
        <f>SUM(I38:L38)</f>
        <v>4</v>
      </c>
      <c r="N38" s="35"/>
      <c r="O38" s="401"/>
      <c r="P38" s="234">
        <f t="shared" si="11"/>
        <v>51136767.5</v>
      </c>
      <c r="Q38" s="16"/>
    </row>
    <row r="39" spans="1:20" ht="15" customHeight="1" x14ac:dyDescent="0.3">
      <c r="A39" s="13"/>
      <c r="B39" s="14" t="s">
        <v>60</v>
      </c>
      <c r="C39" s="15" t="s">
        <v>55</v>
      </c>
      <c r="D39" s="26">
        <f>312.6+146.93</f>
        <v>459.53000000000003</v>
      </c>
      <c r="E39" s="50" t="s">
        <v>52</v>
      </c>
      <c r="F39" s="19">
        <f>6%*D39</f>
        <v>27.5718</v>
      </c>
      <c r="G39" s="26">
        <f>10%*D39</f>
        <v>45.953000000000003</v>
      </c>
      <c r="H39" s="26">
        <f t="shared" si="12"/>
        <v>73.524799999999999</v>
      </c>
      <c r="I39" s="19">
        <v>0</v>
      </c>
      <c r="J39" s="19">
        <v>0</v>
      </c>
      <c r="K39" s="19">
        <v>0</v>
      </c>
      <c r="L39" s="19">
        <v>5</v>
      </c>
      <c r="M39" s="19">
        <f t="shared" si="13"/>
        <v>5</v>
      </c>
      <c r="N39" s="35"/>
      <c r="O39" s="401"/>
      <c r="P39" s="234">
        <f t="shared" si="11"/>
        <v>34081042.450000003</v>
      </c>
      <c r="Q39" s="16"/>
    </row>
    <row r="40" spans="1:20" ht="16.5" customHeight="1" x14ac:dyDescent="0.3">
      <c r="A40" s="13"/>
      <c r="B40" s="14"/>
      <c r="C40" s="15"/>
      <c r="D40" s="26"/>
      <c r="E40" s="47" t="s">
        <v>235</v>
      </c>
      <c r="F40" s="26">
        <f>5%*D39</f>
        <v>22.976500000000001</v>
      </c>
      <c r="G40" s="26">
        <f>10%*D39</f>
        <v>45.953000000000003</v>
      </c>
      <c r="H40" s="26">
        <f>SUM(F40:G40)</f>
        <v>68.929500000000004</v>
      </c>
      <c r="I40" s="19"/>
      <c r="J40" s="19"/>
      <c r="K40" s="19"/>
      <c r="L40" s="19">
        <v>5</v>
      </c>
      <c r="M40" s="19">
        <f>SUM(I40:L40)</f>
        <v>5</v>
      </c>
      <c r="N40" s="35"/>
      <c r="O40" s="400"/>
      <c r="P40" s="234">
        <f t="shared" si="11"/>
        <v>34081042.450000003</v>
      </c>
      <c r="Q40" s="16"/>
    </row>
    <row r="41" spans="1:20" ht="15" customHeight="1" x14ac:dyDescent="0.3">
      <c r="A41" s="13"/>
      <c r="B41" s="14" t="s">
        <v>61</v>
      </c>
      <c r="C41" s="15" t="s">
        <v>27</v>
      </c>
      <c r="D41" s="26">
        <f>650.7+162.25</f>
        <v>812.95</v>
      </c>
      <c r="E41" s="50" t="s">
        <v>52</v>
      </c>
      <c r="F41" s="19">
        <f>4%*D41</f>
        <v>32.518000000000001</v>
      </c>
      <c r="G41" s="26">
        <f>20%*D41</f>
        <v>162.59000000000003</v>
      </c>
      <c r="H41" s="26">
        <f t="shared" si="12"/>
        <v>195.10800000000003</v>
      </c>
      <c r="I41" s="19">
        <v>0</v>
      </c>
      <c r="J41" s="19">
        <v>0</v>
      </c>
      <c r="K41" s="19">
        <v>0</v>
      </c>
      <c r="L41" s="19">
        <v>6</v>
      </c>
      <c r="M41" s="19">
        <f t="shared" si="13"/>
        <v>6</v>
      </c>
      <c r="N41" s="35"/>
      <c r="O41" s="36"/>
      <c r="P41" s="234">
        <f t="shared" si="11"/>
        <v>120584873.5</v>
      </c>
      <c r="Q41" s="16"/>
    </row>
    <row r="42" spans="1:20" ht="16.5" customHeight="1" x14ac:dyDescent="0.3">
      <c r="A42" s="13"/>
      <c r="B42" s="14" t="s">
        <v>62</v>
      </c>
      <c r="C42" s="15" t="s">
        <v>28</v>
      </c>
      <c r="D42" s="26">
        <f>876+634.6+5</f>
        <v>1515.6</v>
      </c>
      <c r="E42" s="50" t="s">
        <v>52</v>
      </c>
      <c r="F42" s="19">
        <f>3%*D42</f>
        <v>45.467999999999996</v>
      </c>
      <c r="G42" s="26">
        <f>15%*D42</f>
        <v>227.33999999999997</v>
      </c>
      <c r="H42" s="26">
        <f t="shared" si="12"/>
        <v>272.80799999999999</v>
      </c>
      <c r="I42" s="19">
        <v>0</v>
      </c>
      <c r="J42" s="19">
        <v>0</v>
      </c>
      <c r="K42" s="19"/>
      <c r="L42" s="19">
        <v>6</v>
      </c>
      <c r="M42" s="19">
        <f t="shared" si="13"/>
        <v>6</v>
      </c>
      <c r="N42" s="35">
        <v>2</v>
      </c>
      <c r="O42" s="399" t="s">
        <v>643</v>
      </c>
      <c r="P42" s="234">
        <f t="shared" si="11"/>
        <v>168606710.99999997</v>
      </c>
      <c r="Q42" s="16"/>
    </row>
    <row r="43" spans="1:20" ht="16.5" customHeight="1" x14ac:dyDescent="0.3">
      <c r="A43" s="13"/>
      <c r="B43" s="14" t="s">
        <v>63</v>
      </c>
      <c r="C43" s="15" t="s">
        <v>29</v>
      </c>
      <c r="D43" s="26">
        <f>1576+278.5</f>
        <v>1854.5</v>
      </c>
      <c r="E43" s="50" t="s">
        <v>52</v>
      </c>
      <c r="F43" s="19">
        <f>2%*D43</f>
        <v>37.090000000000003</v>
      </c>
      <c r="G43" s="26">
        <f>25%*D43</f>
        <v>463.625</v>
      </c>
      <c r="H43" s="26">
        <f t="shared" si="12"/>
        <v>500.71500000000003</v>
      </c>
      <c r="I43" s="19">
        <v>0</v>
      </c>
      <c r="J43" s="19">
        <v>0</v>
      </c>
      <c r="K43" s="19"/>
      <c r="L43" s="19">
        <v>7</v>
      </c>
      <c r="M43" s="19">
        <f t="shared" si="13"/>
        <v>7</v>
      </c>
      <c r="N43" s="35"/>
      <c r="O43" s="401"/>
      <c r="P43" s="234">
        <f t="shared" si="11"/>
        <v>343847481.24999994</v>
      </c>
      <c r="Q43" s="16"/>
    </row>
    <row r="44" spans="1:20" ht="13.5" customHeight="1" x14ac:dyDescent="0.3">
      <c r="A44" s="13"/>
      <c r="B44" s="14"/>
      <c r="C44" s="15"/>
      <c r="D44" s="26"/>
      <c r="E44" s="47" t="s">
        <v>234</v>
      </c>
      <c r="F44" s="19">
        <f>4%*D43</f>
        <v>74.180000000000007</v>
      </c>
      <c r="G44" s="26">
        <f>10%*D42</f>
        <v>151.56</v>
      </c>
      <c r="H44" s="26">
        <f>F44+G44</f>
        <v>225.74</v>
      </c>
      <c r="I44" s="19"/>
      <c r="J44" s="19">
        <v>0</v>
      </c>
      <c r="K44" s="19">
        <v>0</v>
      </c>
      <c r="L44" s="19">
        <v>5</v>
      </c>
      <c r="M44" s="19">
        <f t="shared" ref="M44" si="14">SUM(I44:L44)</f>
        <v>5</v>
      </c>
      <c r="N44" s="35"/>
      <c r="O44" s="401"/>
      <c r="P44" s="234">
        <f t="shared" si="11"/>
        <v>112404474</v>
      </c>
      <c r="Q44" s="16"/>
    </row>
    <row r="45" spans="1:20" ht="16.5" customHeight="1" x14ac:dyDescent="0.3">
      <c r="A45" s="13"/>
      <c r="B45" s="14" t="s">
        <v>64</v>
      </c>
      <c r="C45" s="15" t="s">
        <v>56</v>
      </c>
      <c r="D45" s="26">
        <f>274.6+53.7+42</f>
        <v>370.3</v>
      </c>
      <c r="E45" s="50" t="s">
        <v>52</v>
      </c>
      <c r="F45" s="19">
        <f>6%*D45</f>
        <v>22.218</v>
      </c>
      <c r="G45" s="26">
        <f>15%*D45</f>
        <v>55.545000000000002</v>
      </c>
      <c r="H45" s="26">
        <f t="shared" si="12"/>
        <v>77.763000000000005</v>
      </c>
      <c r="I45" s="19">
        <v>0</v>
      </c>
      <c r="J45" s="19"/>
      <c r="K45" s="19"/>
      <c r="L45" s="19">
        <v>0</v>
      </c>
      <c r="M45" s="19">
        <f t="shared" si="13"/>
        <v>0</v>
      </c>
      <c r="N45" s="35"/>
      <c r="O45" s="401"/>
      <c r="P45" s="234">
        <f t="shared" si="11"/>
        <v>41194949.249999993</v>
      </c>
      <c r="Q45" s="16"/>
    </row>
    <row r="46" spans="1:20" ht="18" customHeight="1" x14ac:dyDescent="0.3">
      <c r="A46" s="13"/>
      <c r="B46" s="14" t="s">
        <v>65</v>
      </c>
      <c r="C46" s="15" t="s">
        <v>30</v>
      </c>
      <c r="D46" s="26">
        <f>1500.5+566.7</f>
        <v>2067.1999999999998</v>
      </c>
      <c r="E46" s="50" t="s">
        <v>52</v>
      </c>
      <c r="F46" s="19">
        <f>4%*D46</f>
        <v>82.687999999999988</v>
      </c>
      <c r="G46" s="26">
        <f>10%*D46</f>
        <v>206.72</v>
      </c>
      <c r="H46" s="26">
        <f t="shared" si="12"/>
        <v>289.40800000000002</v>
      </c>
      <c r="I46" s="19">
        <v>0</v>
      </c>
      <c r="J46" s="19">
        <v>0</v>
      </c>
      <c r="K46" s="19">
        <v>0</v>
      </c>
      <c r="L46" s="19">
        <v>5</v>
      </c>
      <c r="M46" s="19">
        <f t="shared" si="13"/>
        <v>5</v>
      </c>
      <c r="N46" s="35"/>
      <c r="O46" s="401"/>
      <c r="P46" s="234">
        <f t="shared" si="11"/>
        <v>153313888</v>
      </c>
      <c r="Q46" s="16"/>
    </row>
    <row r="47" spans="1:20" ht="18" customHeight="1" x14ac:dyDescent="0.3">
      <c r="A47" s="13"/>
      <c r="B47" s="14"/>
      <c r="C47" s="15"/>
      <c r="D47" s="26"/>
      <c r="E47" s="47" t="s">
        <v>624</v>
      </c>
      <c r="F47" s="19">
        <f>10%*D46</f>
        <v>206.72</v>
      </c>
      <c r="G47" s="26">
        <f>10%*D46</f>
        <v>206.72</v>
      </c>
      <c r="H47" s="26">
        <f>F47+G47</f>
        <v>413.44</v>
      </c>
      <c r="I47" s="19">
        <v>0</v>
      </c>
      <c r="J47" s="19"/>
      <c r="K47" s="19"/>
      <c r="L47" s="19">
        <v>3</v>
      </c>
      <c r="M47" s="19">
        <f>SUM(I47:L47)</f>
        <v>3</v>
      </c>
      <c r="N47" s="35"/>
      <c r="O47" s="401"/>
      <c r="P47" s="234">
        <f t="shared" si="11"/>
        <v>153313888</v>
      </c>
      <c r="Q47" s="16"/>
    </row>
    <row r="48" spans="1:20" ht="18.75" customHeight="1" x14ac:dyDescent="0.3">
      <c r="A48" s="13"/>
      <c r="B48" s="14" t="s">
        <v>66</v>
      </c>
      <c r="C48" s="15" t="s">
        <v>31</v>
      </c>
      <c r="D48" s="26">
        <f>1214.5+386.5</f>
        <v>1601</v>
      </c>
      <c r="E48" s="50" t="s">
        <v>52</v>
      </c>
      <c r="F48" s="19">
        <f>5%*D48</f>
        <v>80.050000000000011</v>
      </c>
      <c r="G48" s="26">
        <f>10%*D48</f>
        <v>160.10000000000002</v>
      </c>
      <c r="H48" s="26">
        <f t="shared" si="12"/>
        <v>240.15000000000003</v>
      </c>
      <c r="I48" s="19">
        <v>0</v>
      </c>
      <c r="J48" s="19">
        <v>0</v>
      </c>
      <c r="K48" s="19">
        <v>0</v>
      </c>
      <c r="L48" s="19">
        <v>0</v>
      </c>
      <c r="M48" s="19">
        <f t="shared" si="13"/>
        <v>0</v>
      </c>
      <c r="N48" s="35"/>
      <c r="O48" s="401"/>
      <c r="P48" s="234">
        <f t="shared" si="11"/>
        <v>118738165</v>
      </c>
      <c r="Q48" s="16"/>
    </row>
    <row r="49" spans="1:17" ht="16.5" customHeight="1" x14ac:dyDescent="0.3">
      <c r="A49" s="13"/>
      <c r="B49" s="14" t="s">
        <v>67</v>
      </c>
      <c r="C49" s="15" t="s">
        <v>32</v>
      </c>
      <c r="D49" s="26">
        <f>998.9+79.5</f>
        <v>1078.4000000000001</v>
      </c>
      <c r="E49" s="50" t="s">
        <v>52</v>
      </c>
      <c r="F49" s="19">
        <f>7%*D49</f>
        <v>75.488000000000014</v>
      </c>
      <c r="G49" s="26">
        <f>10%*D49</f>
        <v>107.84000000000002</v>
      </c>
      <c r="H49" s="26">
        <f t="shared" si="12"/>
        <v>183.32800000000003</v>
      </c>
      <c r="I49" s="19">
        <v>0</v>
      </c>
      <c r="J49" s="19">
        <v>0</v>
      </c>
      <c r="K49" s="19">
        <v>0</v>
      </c>
      <c r="L49" s="19">
        <v>0</v>
      </c>
      <c r="M49" s="19">
        <f t="shared" si="13"/>
        <v>0</v>
      </c>
      <c r="N49" s="35"/>
      <c r="O49" s="401"/>
      <c r="P49" s="234">
        <f t="shared" si="11"/>
        <v>79979536.000000015</v>
      </c>
      <c r="Q49" s="16"/>
    </row>
    <row r="50" spans="1:17" ht="18.75" customHeight="1" x14ac:dyDescent="0.3">
      <c r="A50" s="13"/>
      <c r="B50" s="14" t="s">
        <v>68</v>
      </c>
      <c r="C50" s="15" t="s">
        <v>33</v>
      </c>
      <c r="D50" s="26">
        <f>1314+57.5</f>
        <v>1371.5</v>
      </c>
      <c r="E50" s="50" t="s">
        <v>52</v>
      </c>
      <c r="F50" s="19">
        <f>8%*D50</f>
        <v>109.72</v>
      </c>
      <c r="G50" s="26">
        <f>10%*D50</f>
        <v>137.15</v>
      </c>
      <c r="H50" s="26">
        <f t="shared" si="12"/>
        <v>246.87</v>
      </c>
      <c r="I50" s="19">
        <v>0</v>
      </c>
      <c r="J50" s="19"/>
      <c r="K50" s="19">
        <v>0</v>
      </c>
      <c r="L50" s="19">
        <v>0</v>
      </c>
      <c r="M50" s="19">
        <f t="shared" si="13"/>
        <v>0</v>
      </c>
      <c r="N50" s="35"/>
      <c r="O50" s="401"/>
      <c r="P50" s="234">
        <f t="shared" si="11"/>
        <v>101717297.5</v>
      </c>
      <c r="Q50" s="16"/>
    </row>
    <row r="51" spans="1:17" ht="16.5" customHeight="1" x14ac:dyDescent="0.3">
      <c r="A51" s="13"/>
      <c r="B51" s="14" t="s">
        <v>69</v>
      </c>
      <c r="C51" s="15" t="s">
        <v>34</v>
      </c>
      <c r="D51" s="26">
        <f>1892.1+376</f>
        <v>2268.1</v>
      </c>
      <c r="E51" s="50" t="s">
        <v>52</v>
      </c>
      <c r="F51" s="19">
        <f>3%*D51</f>
        <v>68.042999999999992</v>
      </c>
      <c r="G51" s="26">
        <f>20%*D51</f>
        <v>453.62</v>
      </c>
      <c r="H51" s="26">
        <f t="shared" si="12"/>
        <v>521.66300000000001</v>
      </c>
      <c r="I51" s="19">
        <v>0</v>
      </c>
      <c r="J51" s="19"/>
      <c r="K51" s="19"/>
      <c r="L51" s="19">
        <v>5</v>
      </c>
      <c r="M51" s="19">
        <f t="shared" si="13"/>
        <v>5</v>
      </c>
      <c r="N51" s="35"/>
      <c r="O51" s="401"/>
      <c r="P51" s="234">
        <f t="shared" si="11"/>
        <v>336427273</v>
      </c>
      <c r="Q51" s="16"/>
    </row>
    <row r="52" spans="1:17" ht="16.5" customHeight="1" x14ac:dyDescent="0.3">
      <c r="A52" s="13"/>
      <c r="B52" s="14" t="s">
        <v>70</v>
      </c>
      <c r="C52" s="15" t="s">
        <v>35</v>
      </c>
      <c r="D52" s="26">
        <f>1558+185.25</f>
        <v>1743.25</v>
      </c>
      <c r="E52" s="50" t="s">
        <v>52</v>
      </c>
      <c r="F52" s="19">
        <f>2%*D52</f>
        <v>34.865000000000002</v>
      </c>
      <c r="G52" s="26">
        <f>10%*D52</f>
        <v>174.32500000000002</v>
      </c>
      <c r="H52" s="26">
        <f t="shared" si="12"/>
        <v>209.19000000000003</v>
      </c>
      <c r="I52" s="19">
        <v>0</v>
      </c>
      <c r="J52" s="19">
        <v>0</v>
      </c>
      <c r="K52" s="19">
        <v>0</v>
      </c>
      <c r="L52" s="19">
        <v>0</v>
      </c>
      <c r="M52" s="19">
        <f t="shared" si="13"/>
        <v>0</v>
      </c>
      <c r="N52" s="35"/>
      <c r="O52" s="401"/>
      <c r="P52" s="234">
        <f t="shared" si="11"/>
        <v>129288136.25</v>
      </c>
      <c r="Q52" s="16"/>
    </row>
    <row r="53" spans="1:17" ht="17.25" customHeight="1" x14ac:dyDescent="0.3">
      <c r="A53" s="13"/>
      <c r="B53" s="14" t="s">
        <v>71</v>
      </c>
      <c r="C53" s="15" t="s">
        <v>21</v>
      </c>
      <c r="D53" s="26">
        <f>1972+130</f>
        <v>2102</v>
      </c>
      <c r="E53" s="50" t="s">
        <v>52</v>
      </c>
      <c r="F53" s="19">
        <f>3%*D53</f>
        <v>63.059999999999995</v>
      </c>
      <c r="G53" s="26">
        <f>11%*D53</f>
        <v>231.22</v>
      </c>
      <c r="H53" s="26">
        <f t="shared" si="12"/>
        <v>294.27999999999997</v>
      </c>
      <c r="I53" s="19">
        <v>0</v>
      </c>
      <c r="J53" s="19">
        <v>0</v>
      </c>
      <c r="K53" s="19">
        <v>0</v>
      </c>
      <c r="L53" s="19">
        <v>0</v>
      </c>
      <c r="M53" s="19">
        <f t="shared" si="13"/>
        <v>0</v>
      </c>
      <c r="N53" s="35"/>
      <c r="O53" s="401"/>
      <c r="P53" s="234">
        <f t="shared" si="11"/>
        <v>171484313</v>
      </c>
      <c r="Q53" s="16"/>
    </row>
    <row r="54" spans="1:17" ht="22.5" customHeight="1" x14ac:dyDescent="0.3">
      <c r="A54" s="13"/>
      <c r="B54" s="14" t="s">
        <v>72</v>
      </c>
      <c r="C54" s="15" t="s">
        <v>42</v>
      </c>
      <c r="D54" s="26">
        <f>773.1+303.8</f>
        <v>1076.9000000000001</v>
      </c>
      <c r="E54" s="50" t="s">
        <v>52</v>
      </c>
      <c r="F54" s="19">
        <f>3%*D54</f>
        <v>32.307000000000002</v>
      </c>
      <c r="G54" s="26">
        <f>15%*D54</f>
        <v>161.535</v>
      </c>
      <c r="H54" s="26">
        <f t="shared" si="12"/>
        <v>193.84199999999998</v>
      </c>
      <c r="I54" s="19">
        <v>0</v>
      </c>
      <c r="J54" s="19">
        <v>0</v>
      </c>
      <c r="K54" s="19">
        <v>0</v>
      </c>
      <c r="L54" s="19">
        <v>3</v>
      </c>
      <c r="M54" s="19">
        <f t="shared" si="13"/>
        <v>3</v>
      </c>
      <c r="N54" s="35"/>
      <c r="O54" s="400"/>
      <c r="P54" s="234">
        <f t="shared" si="11"/>
        <v>119802432.74999999</v>
      </c>
      <c r="Q54" s="16"/>
    </row>
    <row r="55" spans="1:17" ht="16.5" customHeight="1" x14ac:dyDescent="0.3">
      <c r="A55" s="13"/>
      <c r="B55" s="14" t="s">
        <v>73</v>
      </c>
      <c r="C55" s="15" t="s">
        <v>105</v>
      </c>
      <c r="D55" s="26">
        <f>153.8+8.7</f>
        <v>162.5</v>
      </c>
      <c r="E55" s="50" t="s">
        <v>52</v>
      </c>
      <c r="F55" s="19">
        <f>4%*D55</f>
        <v>6.5</v>
      </c>
      <c r="G55" s="26">
        <f>11%*D55</f>
        <v>17.875</v>
      </c>
      <c r="H55" s="26">
        <f t="shared" si="12"/>
        <v>24.375</v>
      </c>
      <c r="I55" s="19">
        <v>0</v>
      </c>
      <c r="J55" s="19">
        <v>0</v>
      </c>
      <c r="K55" s="19">
        <v>0</v>
      </c>
      <c r="L55" s="19">
        <v>6</v>
      </c>
      <c r="M55" s="19">
        <f t="shared" si="13"/>
        <v>6</v>
      </c>
      <c r="N55" s="35"/>
      <c r="O55" s="36"/>
      <c r="P55" s="234">
        <f t="shared" si="11"/>
        <v>13256993.749999998</v>
      </c>
      <c r="Q55" s="16"/>
    </row>
    <row r="56" spans="1:17" ht="16.5" customHeight="1" x14ac:dyDescent="0.3">
      <c r="A56" s="13"/>
      <c r="B56" s="14" t="s">
        <v>74</v>
      </c>
      <c r="C56" s="15" t="s">
        <v>110</v>
      </c>
      <c r="D56" s="26">
        <f>695+48.2</f>
        <v>743.2</v>
      </c>
      <c r="E56" s="50" t="s">
        <v>52</v>
      </c>
      <c r="F56" s="19">
        <f>4%*D56</f>
        <v>29.728000000000002</v>
      </c>
      <c r="G56" s="26">
        <f>15%*D56</f>
        <v>111.48</v>
      </c>
      <c r="H56" s="26">
        <f t="shared" si="12"/>
        <v>141.208</v>
      </c>
      <c r="I56" s="19">
        <v>0</v>
      </c>
      <c r="J56" s="19">
        <v>0</v>
      </c>
      <c r="K56" s="19">
        <v>0</v>
      </c>
      <c r="L56" s="19">
        <v>0</v>
      </c>
      <c r="M56" s="19">
        <f t="shared" si="13"/>
        <v>0</v>
      </c>
      <c r="N56" s="35">
        <v>3</v>
      </c>
      <c r="O56" s="399" t="s">
        <v>644</v>
      </c>
      <c r="P56" s="234">
        <f t="shared" si="11"/>
        <v>82679142</v>
      </c>
      <c r="Q56" s="16"/>
    </row>
    <row r="57" spans="1:17" ht="16.5" customHeight="1" x14ac:dyDescent="0.3">
      <c r="A57" s="13"/>
      <c r="B57" s="14" t="s">
        <v>75</v>
      </c>
      <c r="C57" s="15" t="s">
        <v>112</v>
      </c>
      <c r="D57" s="26">
        <f>375+14</f>
        <v>389</v>
      </c>
      <c r="E57" s="50" t="s">
        <v>52</v>
      </c>
      <c r="F57" s="19">
        <f>4%*D57</f>
        <v>15.56</v>
      </c>
      <c r="G57" s="26">
        <f t="shared" ref="G57:G62" si="15">10%*D57</f>
        <v>38.900000000000006</v>
      </c>
      <c r="H57" s="26">
        <f t="shared" si="12"/>
        <v>54.460000000000008</v>
      </c>
      <c r="I57" s="19">
        <v>0</v>
      </c>
      <c r="J57" s="19">
        <v>0</v>
      </c>
      <c r="K57" s="19">
        <v>0</v>
      </c>
      <c r="L57" s="19">
        <v>0</v>
      </c>
      <c r="M57" s="19">
        <f t="shared" si="13"/>
        <v>0</v>
      </c>
      <c r="N57" s="35"/>
      <c r="O57" s="401"/>
      <c r="P57" s="234">
        <f t="shared" si="11"/>
        <v>28850185</v>
      </c>
      <c r="Q57" s="16"/>
    </row>
    <row r="58" spans="1:17" ht="16.5" customHeight="1" x14ac:dyDescent="0.3">
      <c r="A58" s="13"/>
      <c r="B58" s="14" t="s">
        <v>104</v>
      </c>
      <c r="C58" s="15" t="s">
        <v>114</v>
      </c>
      <c r="D58" s="26">
        <f>73.5</f>
        <v>73.5</v>
      </c>
      <c r="E58" s="50" t="s">
        <v>52</v>
      </c>
      <c r="F58" s="19">
        <f>4%*D58</f>
        <v>2.94</v>
      </c>
      <c r="G58" s="26">
        <f t="shared" si="15"/>
        <v>7.3500000000000005</v>
      </c>
      <c r="H58" s="26">
        <f t="shared" si="12"/>
        <v>10.290000000000001</v>
      </c>
      <c r="I58" s="19">
        <v>0</v>
      </c>
      <c r="J58" s="19">
        <v>0</v>
      </c>
      <c r="K58" s="19">
        <v>0</v>
      </c>
      <c r="L58" s="19">
        <v>5</v>
      </c>
      <c r="M58" s="19">
        <f t="shared" si="13"/>
        <v>5</v>
      </c>
      <c r="N58" s="35"/>
      <c r="O58" s="401"/>
      <c r="P58" s="234">
        <f t="shared" si="11"/>
        <v>5451127.5</v>
      </c>
      <c r="Q58" s="16"/>
    </row>
    <row r="59" spans="1:17" ht="16.5" customHeight="1" x14ac:dyDescent="0.3">
      <c r="A59" s="13"/>
      <c r="B59" s="14" t="s">
        <v>106</v>
      </c>
      <c r="C59" s="15" t="s">
        <v>22</v>
      </c>
      <c r="D59" s="26">
        <f>1184.3+105</f>
        <v>1289.3</v>
      </c>
      <c r="E59" s="50" t="s">
        <v>52</v>
      </c>
      <c r="F59" s="19">
        <f>5%*D59</f>
        <v>64.465000000000003</v>
      </c>
      <c r="G59" s="26">
        <f t="shared" si="15"/>
        <v>128.93</v>
      </c>
      <c r="H59" s="26">
        <f t="shared" si="12"/>
        <v>193.39500000000001</v>
      </c>
      <c r="I59" s="19">
        <v>0</v>
      </c>
      <c r="J59" s="19">
        <v>0</v>
      </c>
      <c r="K59" s="19"/>
      <c r="L59" s="19">
        <v>0</v>
      </c>
      <c r="M59" s="19">
        <f t="shared" si="13"/>
        <v>0</v>
      </c>
      <c r="N59" s="35"/>
      <c r="O59" s="401"/>
      <c r="P59" s="234">
        <f t="shared" si="11"/>
        <v>95620934.5</v>
      </c>
      <c r="Q59" s="16"/>
    </row>
    <row r="60" spans="1:17" ht="14.25" customHeight="1" x14ac:dyDescent="0.3">
      <c r="A60" s="13"/>
      <c r="B60" s="14" t="s">
        <v>108</v>
      </c>
      <c r="C60" s="15" t="s">
        <v>180</v>
      </c>
      <c r="D60" s="26">
        <f>134.8+5</f>
        <v>139.80000000000001</v>
      </c>
      <c r="E60" s="47" t="s">
        <v>52</v>
      </c>
      <c r="F60" s="19">
        <f>5%*D60</f>
        <v>6.9900000000000011</v>
      </c>
      <c r="G60" s="26">
        <f t="shared" si="15"/>
        <v>13.980000000000002</v>
      </c>
      <c r="H60" s="26">
        <f t="shared" si="12"/>
        <v>20.970000000000002</v>
      </c>
      <c r="I60" s="19">
        <v>0</v>
      </c>
      <c r="J60" s="19">
        <v>0</v>
      </c>
      <c r="K60" s="19">
        <v>0</v>
      </c>
      <c r="L60" s="19">
        <v>5</v>
      </c>
      <c r="M60" s="19">
        <f t="shared" si="13"/>
        <v>5</v>
      </c>
      <c r="N60" s="35"/>
      <c r="O60" s="401"/>
      <c r="P60" s="234">
        <f t="shared" si="11"/>
        <v>10368267</v>
      </c>
      <c r="Q60" s="16"/>
    </row>
    <row r="61" spans="1:17" ht="16.5" customHeight="1" x14ac:dyDescent="0.3">
      <c r="A61" s="13"/>
      <c r="B61" s="14" t="s">
        <v>109</v>
      </c>
      <c r="C61" s="15" t="s">
        <v>43</v>
      </c>
      <c r="D61" s="26">
        <f>1195+218.6</f>
        <v>1413.6</v>
      </c>
      <c r="E61" s="50" t="s">
        <v>52</v>
      </c>
      <c r="F61" s="19">
        <f>4%*D61</f>
        <v>56.543999999999997</v>
      </c>
      <c r="G61" s="26">
        <f t="shared" si="15"/>
        <v>141.35999999999999</v>
      </c>
      <c r="H61" s="26">
        <f t="shared" si="12"/>
        <v>197.904</v>
      </c>
      <c r="I61" s="19">
        <v>0</v>
      </c>
      <c r="J61" s="19">
        <v>0</v>
      </c>
      <c r="K61" s="19">
        <v>0</v>
      </c>
      <c r="L61" s="19">
        <v>0</v>
      </c>
      <c r="M61" s="19">
        <f t="shared" si="13"/>
        <v>0</v>
      </c>
      <c r="N61" s="35"/>
      <c r="O61" s="400"/>
      <c r="P61" s="234">
        <f t="shared" si="11"/>
        <v>104839644</v>
      </c>
      <c r="Q61" s="16"/>
    </row>
    <row r="62" spans="1:17" ht="15.75" customHeight="1" x14ac:dyDescent="0.3">
      <c r="A62" s="13"/>
      <c r="B62" s="55" t="s">
        <v>111</v>
      </c>
      <c r="C62" s="56" t="s">
        <v>44</v>
      </c>
      <c r="D62" s="57">
        <f>1400.35+129.1</f>
        <v>1529.4499999999998</v>
      </c>
      <c r="E62" s="78" t="s">
        <v>52</v>
      </c>
      <c r="F62" s="19">
        <f>5%*D62</f>
        <v>76.472499999999997</v>
      </c>
      <c r="G62" s="26">
        <f t="shared" si="15"/>
        <v>152.94499999999999</v>
      </c>
      <c r="H62" s="26">
        <f t="shared" si="12"/>
        <v>229.41749999999999</v>
      </c>
      <c r="I62" s="19">
        <v>0</v>
      </c>
      <c r="J62" s="19">
        <v>0</v>
      </c>
      <c r="K62" s="19">
        <v>0</v>
      </c>
      <c r="L62" s="19">
        <v>6</v>
      </c>
      <c r="M62" s="19">
        <f t="shared" si="13"/>
        <v>6</v>
      </c>
      <c r="N62" s="35"/>
      <c r="O62" s="36"/>
      <c r="P62" s="234">
        <f t="shared" si="11"/>
        <v>113431659.24999999</v>
      </c>
      <c r="Q62" s="16"/>
    </row>
    <row r="63" spans="1:17" ht="16.5" customHeight="1" x14ac:dyDescent="0.3">
      <c r="A63" s="13"/>
      <c r="B63" s="14" t="s">
        <v>74</v>
      </c>
      <c r="C63" s="15" t="s">
        <v>43</v>
      </c>
      <c r="D63" s="26">
        <v>1189</v>
      </c>
      <c r="E63" s="50" t="s">
        <v>52</v>
      </c>
      <c r="F63" s="19">
        <f>5%*D63</f>
        <v>59.45</v>
      </c>
      <c r="G63" s="26">
        <f>156%*D63</f>
        <v>1854.8400000000001</v>
      </c>
      <c r="H63" s="26">
        <f t="shared" si="12"/>
        <v>1914.2900000000002</v>
      </c>
      <c r="I63" s="19">
        <v>0</v>
      </c>
      <c r="J63" s="19"/>
      <c r="K63" s="19"/>
      <c r="L63" s="19">
        <v>4</v>
      </c>
      <c r="M63" s="19">
        <f t="shared" si="13"/>
        <v>4</v>
      </c>
      <c r="N63" s="35"/>
      <c r="O63" s="36"/>
      <c r="P63" s="234">
        <f t="shared" si="11"/>
        <v>1375642086.0000002</v>
      </c>
      <c r="Q63" s="16"/>
    </row>
    <row r="64" spans="1:17" ht="18.75" customHeight="1" x14ac:dyDescent="0.3">
      <c r="A64" s="89"/>
      <c r="B64" s="72" t="s">
        <v>347</v>
      </c>
      <c r="C64" s="72"/>
      <c r="D64" s="84">
        <f>SUM(D34:D63)</f>
        <v>30187.68</v>
      </c>
      <c r="E64" s="74"/>
      <c r="F64" s="83">
        <f>SUM(F41:F63)</f>
        <v>1283.0645000000002</v>
      </c>
      <c r="G64" s="83">
        <f t="shared" ref="G64:M64" si="16">SUM(G34:G63)</f>
        <v>7099.1609999999991</v>
      </c>
      <c r="H64" s="83">
        <f t="shared" si="16"/>
        <v>8937.7157999999999</v>
      </c>
      <c r="I64" s="83">
        <f t="shared" si="16"/>
        <v>0</v>
      </c>
      <c r="J64" s="83">
        <f t="shared" si="16"/>
        <v>0</v>
      </c>
      <c r="K64" s="83">
        <f t="shared" si="16"/>
        <v>0</v>
      </c>
      <c r="L64" s="83">
        <f t="shared" si="16"/>
        <v>102</v>
      </c>
      <c r="M64" s="83">
        <f t="shared" si="16"/>
        <v>102</v>
      </c>
      <c r="N64" s="76"/>
      <c r="O64" s="77"/>
      <c r="P64" s="184">
        <f>SUM(P34:P63)</f>
        <v>5265092755.6500006</v>
      </c>
      <c r="Q64" s="75"/>
    </row>
    <row r="65" spans="1:20" ht="13.5" customHeight="1" x14ac:dyDescent="0.3">
      <c r="A65" s="63">
        <v>4</v>
      </c>
      <c r="B65" s="64" t="s">
        <v>46</v>
      </c>
      <c r="C65" s="65"/>
      <c r="D65" s="66"/>
      <c r="E65" s="67"/>
      <c r="F65" s="82"/>
      <c r="G65" s="82"/>
      <c r="H65" s="82"/>
      <c r="I65" s="82"/>
      <c r="J65" s="82"/>
      <c r="K65" s="82"/>
      <c r="L65" s="82"/>
      <c r="M65" s="82"/>
      <c r="N65" s="69"/>
      <c r="O65" s="70"/>
      <c r="P65" s="233"/>
      <c r="Q65" s="68"/>
    </row>
    <row r="66" spans="1:20" ht="18.75" customHeight="1" x14ac:dyDescent="0.3">
      <c r="A66" s="102"/>
      <c r="B66" s="98" t="s">
        <v>57</v>
      </c>
      <c r="C66" s="99" t="s">
        <v>29</v>
      </c>
      <c r="D66" s="96">
        <v>175</v>
      </c>
      <c r="E66" s="101" t="s">
        <v>645</v>
      </c>
      <c r="F66" s="96">
        <f>2%*D66</f>
        <v>3.5</v>
      </c>
      <c r="G66" s="96">
        <f>2%*D66</f>
        <v>3.5</v>
      </c>
      <c r="H66" s="96">
        <f>SUM(F66:G66)</f>
        <v>7</v>
      </c>
      <c r="I66" s="97">
        <v>0</v>
      </c>
      <c r="J66" s="97"/>
      <c r="K66" s="97"/>
      <c r="L66" s="97">
        <v>3</v>
      </c>
      <c r="M66" s="97">
        <f t="shared" ref="M66:M74" si="17">SUM(I66:L66)</f>
        <v>3</v>
      </c>
      <c r="N66" s="35" t="s">
        <v>51</v>
      </c>
      <c r="O66" s="36" t="s">
        <v>229</v>
      </c>
      <c r="P66" s="234">
        <f>G66*1.036*20%*8000000</f>
        <v>5801600.0000000009</v>
      </c>
      <c r="Q66" s="16"/>
    </row>
    <row r="67" spans="1:20" ht="16.5" customHeight="1" x14ac:dyDescent="0.3">
      <c r="A67" s="13"/>
      <c r="B67" s="14" t="s">
        <v>58</v>
      </c>
      <c r="C67" s="15" t="s">
        <v>33</v>
      </c>
      <c r="D67" s="26">
        <v>368</v>
      </c>
      <c r="E67" s="47" t="s">
        <v>185</v>
      </c>
      <c r="F67" s="26">
        <f>3%*D67</f>
        <v>11.04</v>
      </c>
      <c r="G67" s="26">
        <f>5%*D67</f>
        <v>18.400000000000002</v>
      </c>
      <c r="H67" s="26">
        <f t="shared" ref="H67:H74" si="18">SUM(F67:G67)</f>
        <v>29.44</v>
      </c>
      <c r="I67" s="19">
        <v>0</v>
      </c>
      <c r="J67" s="19"/>
      <c r="K67" s="19">
        <v>0</v>
      </c>
      <c r="L67" s="19">
        <v>6</v>
      </c>
      <c r="M67" s="19">
        <f t="shared" si="17"/>
        <v>6</v>
      </c>
      <c r="N67" s="35" t="s">
        <v>51</v>
      </c>
      <c r="O67" s="36" t="s">
        <v>138</v>
      </c>
      <c r="P67" s="234">
        <f>G67*1.036*20%*8000000</f>
        <v>30499840.000000007</v>
      </c>
      <c r="Q67" s="16"/>
    </row>
    <row r="68" spans="1:20" ht="17.25" customHeight="1" x14ac:dyDescent="0.3">
      <c r="A68" s="13"/>
      <c r="B68" s="98" t="s">
        <v>59</v>
      </c>
      <c r="C68" s="99" t="s">
        <v>42</v>
      </c>
      <c r="D68" s="96">
        <v>774.98</v>
      </c>
      <c r="E68" s="101" t="s">
        <v>645</v>
      </c>
      <c r="F68" s="96">
        <f>4%*D68</f>
        <v>30.999200000000002</v>
      </c>
      <c r="G68" s="97">
        <f>6%*D68</f>
        <v>46.498800000000003</v>
      </c>
      <c r="H68" s="96">
        <f t="shared" si="18"/>
        <v>77.498000000000005</v>
      </c>
      <c r="I68" s="97">
        <v>0</v>
      </c>
      <c r="J68" s="97"/>
      <c r="K68" s="97">
        <v>0</v>
      </c>
      <c r="L68" s="97">
        <v>7</v>
      </c>
      <c r="M68" s="97">
        <f t="shared" si="17"/>
        <v>7</v>
      </c>
      <c r="N68" s="35"/>
      <c r="O68" s="36"/>
      <c r="P68" s="234">
        <f>G68*1.036*20%*8000000</f>
        <v>77076410.88000001</v>
      </c>
      <c r="Q68" s="16"/>
    </row>
    <row r="69" spans="1:20" ht="18.75" customHeight="1" x14ac:dyDescent="0.3">
      <c r="A69" s="13"/>
      <c r="B69" s="98" t="s">
        <v>60</v>
      </c>
      <c r="C69" s="99" t="s">
        <v>21</v>
      </c>
      <c r="D69" s="96">
        <v>949.55</v>
      </c>
      <c r="E69" s="101" t="s">
        <v>645</v>
      </c>
      <c r="F69" s="96">
        <f>4%*D69</f>
        <v>37.981999999999999</v>
      </c>
      <c r="G69" s="97">
        <f>2%*D69</f>
        <v>18.991</v>
      </c>
      <c r="H69" s="96">
        <f t="shared" si="18"/>
        <v>56.972999999999999</v>
      </c>
      <c r="I69" s="97">
        <v>0</v>
      </c>
      <c r="J69" s="97"/>
      <c r="K69" s="97">
        <v>0</v>
      </c>
      <c r="L69" s="97">
        <v>8</v>
      </c>
      <c r="M69" s="97">
        <f t="shared" si="17"/>
        <v>8</v>
      </c>
      <c r="N69" s="35"/>
      <c r="O69" s="36"/>
      <c r="P69" s="234">
        <f t="shared" ref="P69:P71" si="19">G69*1.036*20%*8500000</f>
        <v>33446949.200000003</v>
      </c>
      <c r="Q69" s="16"/>
      <c r="S69" s="1" t="s">
        <v>641</v>
      </c>
    </row>
    <row r="70" spans="1:20" ht="12.75" customHeight="1" x14ac:dyDescent="0.3">
      <c r="A70" s="13"/>
      <c r="B70" s="98"/>
      <c r="C70" s="99"/>
      <c r="D70" s="96"/>
      <c r="E70" s="47" t="s">
        <v>185</v>
      </c>
      <c r="F70" s="96">
        <f>10%*D69</f>
        <v>94.954999999999998</v>
      </c>
      <c r="G70" s="96">
        <f>1%*D69</f>
        <v>9.4954999999999998</v>
      </c>
      <c r="H70" s="96">
        <f>SUM(F70:G70)</f>
        <v>104.45050000000001</v>
      </c>
      <c r="I70" s="19">
        <v>0</v>
      </c>
      <c r="J70" s="19">
        <v>0</v>
      </c>
      <c r="K70" s="19">
        <v>0</v>
      </c>
      <c r="L70" s="19">
        <v>5</v>
      </c>
      <c r="M70" s="19">
        <f t="shared" si="17"/>
        <v>5</v>
      </c>
      <c r="N70" s="35"/>
      <c r="O70" s="36"/>
      <c r="P70" s="234">
        <f t="shared" si="19"/>
        <v>16723474.600000001</v>
      </c>
      <c r="Q70" s="16"/>
    </row>
    <row r="71" spans="1:20" ht="18.75" customHeight="1" x14ac:dyDescent="0.3">
      <c r="A71" s="16"/>
      <c r="B71" s="14" t="s">
        <v>61</v>
      </c>
      <c r="C71" s="15" t="s">
        <v>22</v>
      </c>
      <c r="D71" s="26">
        <v>1223.55</v>
      </c>
      <c r="E71" s="101" t="s">
        <v>645</v>
      </c>
      <c r="F71" s="26">
        <f>3%*D71</f>
        <v>36.706499999999998</v>
      </c>
      <c r="G71" s="19">
        <f>3%*D71</f>
        <v>36.706499999999998</v>
      </c>
      <c r="H71" s="26">
        <f t="shared" si="18"/>
        <v>73.412999999999997</v>
      </c>
      <c r="I71" s="19">
        <v>0</v>
      </c>
      <c r="J71" s="19"/>
      <c r="K71" s="19"/>
      <c r="L71" s="19">
        <v>4</v>
      </c>
      <c r="M71" s="19">
        <f t="shared" si="17"/>
        <v>4</v>
      </c>
      <c r="N71" s="35"/>
      <c r="O71" s="36"/>
      <c r="P71" s="234">
        <f t="shared" si="19"/>
        <v>64647487.800000012</v>
      </c>
      <c r="Q71" s="16"/>
    </row>
    <row r="72" spans="1:20" ht="16.5" customHeight="1" x14ac:dyDescent="0.3">
      <c r="A72" s="87"/>
      <c r="B72" s="55" t="s">
        <v>62</v>
      </c>
      <c r="C72" s="56" t="s">
        <v>43</v>
      </c>
      <c r="D72" s="57">
        <v>133</v>
      </c>
      <c r="E72" s="101" t="s">
        <v>645</v>
      </c>
      <c r="F72" s="19">
        <f>5%*D72</f>
        <v>6.65</v>
      </c>
      <c r="G72" s="135">
        <f>2%*D72</f>
        <v>2.66</v>
      </c>
      <c r="H72" s="26">
        <f t="shared" si="18"/>
        <v>9.31</v>
      </c>
      <c r="I72" s="19">
        <v>0</v>
      </c>
      <c r="J72" s="19"/>
      <c r="K72" s="19">
        <v>0</v>
      </c>
      <c r="L72" s="19">
        <v>3</v>
      </c>
      <c r="M72" s="19">
        <f t="shared" si="17"/>
        <v>3</v>
      </c>
      <c r="N72" s="35"/>
      <c r="O72" s="36"/>
      <c r="P72" s="234">
        <f>G72*1.036*20%*8000000</f>
        <v>4409216.0000000009</v>
      </c>
      <c r="Q72" s="16"/>
    </row>
    <row r="73" spans="1:20" ht="17.25" customHeight="1" x14ac:dyDescent="0.3">
      <c r="A73" s="87"/>
      <c r="B73" s="14" t="s">
        <v>63</v>
      </c>
      <c r="C73" s="15" t="s">
        <v>44</v>
      </c>
      <c r="D73" s="26">
        <v>324.64999999999998</v>
      </c>
      <c r="E73" s="101" t="s">
        <v>645</v>
      </c>
      <c r="F73" s="135">
        <f>3%*D73</f>
        <v>9.7394999999999996</v>
      </c>
      <c r="G73" s="19">
        <f>1%*D73</f>
        <v>3.2464999999999997</v>
      </c>
      <c r="H73" s="26">
        <f t="shared" si="18"/>
        <v>12.985999999999999</v>
      </c>
      <c r="I73" s="135">
        <v>0</v>
      </c>
      <c r="J73" s="135"/>
      <c r="K73" s="135">
        <v>0</v>
      </c>
      <c r="L73" s="135">
        <v>3</v>
      </c>
      <c r="M73" s="135">
        <f t="shared" ref="M73" si="20">SUM(I73:L73)</f>
        <v>3</v>
      </c>
      <c r="N73" s="80"/>
      <c r="O73" s="81"/>
      <c r="P73" s="234">
        <f>G73*1.036*20%*8000000</f>
        <v>5381398.4000000004</v>
      </c>
      <c r="Q73" s="87"/>
    </row>
    <row r="74" spans="1:20" ht="21" customHeight="1" x14ac:dyDescent="0.3">
      <c r="A74" s="16"/>
      <c r="B74" s="14" t="s">
        <v>63</v>
      </c>
      <c r="C74" s="15" t="s">
        <v>32</v>
      </c>
      <c r="D74" s="26">
        <v>248.5</v>
      </c>
      <c r="E74" s="101" t="s">
        <v>645</v>
      </c>
      <c r="F74" s="135">
        <f>3%*D74</f>
        <v>7.4550000000000001</v>
      </c>
      <c r="G74" s="19">
        <f>2%*D74</f>
        <v>4.97</v>
      </c>
      <c r="H74" s="26">
        <f t="shared" si="18"/>
        <v>12.425000000000001</v>
      </c>
      <c r="I74" s="135">
        <v>0</v>
      </c>
      <c r="J74" s="135"/>
      <c r="K74" s="135">
        <v>0</v>
      </c>
      <c r="L74" s="135">
        <v>4</v>
      </c>
      <c r="M74" s="135">
        <f t="shared" si="17"/>
        <v>4</v>
      </c>
      <c r="N74" s="80"/>
      <c r="O74" s="81"/>
      <c r="P74" s="234">
        <f>G74*1.036*20%*8000000</f>
        <v>8238272</v>
      </c>
      <c r="Q74" s="87"/>
    </row>
    <row r="75" spans="1:20" ht="16.5" customHeight="1" x14ac:dyDescent="0.3">
      <c r="A75" s="75"/>
      <c r="B75" s="72" t="s">
        <v>348</v>
      </c>
      <c r="C75" s="72"/>
      <c r="D75" s="73">
        <f>SUM(D66:D74)</f>
        <v>4197.2299999999996</v>
      </c>
      <c r="E75" s="74"/>
      <c r="F75" s="73">
        <f t="shared" ref="F75:K75" si="21">SUM(F66:F74)</f>
        <v>239.02720000000002</v>
      </c>
      <c r="G75" s="83">
        <f t="shared" si="21"/>
        <v>144.4683</v>
      </c>
      <c r="H75" s="73">
        <f t="shared" si="21"/>
        <v>383.49549999999999</v>
      </c>
      <c r="I75" s="83">
        <f t="shared" si="21"/>
        <v>0</v>
      </c>
      <c r="J75" s="83">
        <f t="shared" si="21"/>
        <v>0</v>
      </c>
      <c r="K75" s="83">
        <f t="shared" si="21"/>
        <v>0</v>
      </c>
      <c r="L75" s="83">
        <f>SUM(L65:L74)</f>
        <v>43</v>
      </c>
      <c r="M75" s="83">
        <f>SUM(M66:M74)</f>
        <v>43</v>
      </c>
      <c r="N75" s="76"/>
      <c r="O75" s="77"/>
      <c r="P75" s="184">
        <f>SUM(P66:P74)</f>
        <v>246224648.88000005</v>
      </c>
      <c r="Q75" s="75"/>
    </row>
    <row r="76" spans="1:20" ht="14.25" customHeight="1" x14ac:dyDescent="0.3">
      <c r="A76" s="63">
        <v>5</v>
      </c>
      <c r="B76" s="64" t="s">
        <v>96</v>
      </c>
      <c r="C76" s="65"/>
      <c r="D76" s="66"/>
      <c r="E76" s="67"/>
      <c r="F76" s="66"/>
      <c r="G76" s="66"/>
      <c r="H76" s="66"/>
      <c r="I76" s="82"/>
      <c r="J76" s="82"/>
      <c r="K76" s="82"/>
      <c r="L76" s="82"/>
      <c r="M76" s="82"/>
      <c r="N76" s="69"/>
      <c r="O76" s="70"/>
      <c r="P76" s="233"/>
      <c r="Q76" s="68"/>
    </row>
    <row r="77" spans="1:20" ht="16.5" customHeight="1" x14ac:dyDescent="0.3">
      <c r="A77" s="16"/>
      <c r="B77" s="14" t="s">
        <v>57</v>
      </c>
      <c r="C77" s="15" t="s">
        <v>22</v>
      </c>
      <c r="D77" s="26">
        <v>13.6</v>
      </c>
      <c r="E77" s="47" t="s">
        <v>187</v>
      </c>
      <c r="F77" s="26">
        <f>45%*D77</f>
        <v>6.12</v>
      </c>
      <c r="G77" s="26">
        <f>7%*D77</f>
        <v>0.95200000000000007</v>
      </c>
      <c r="H77" s="26">
        <f t="shared" ref="H77:H85" si="22">SUM(F77:G77)</f>
        <v>7.0720000000000001</v>
      </c>
      <c r="I77" s="19">
        <v>0</v>
      </c>
      <c r="J77" s="19"/>
      <c r="K77" s="19"/>
      <c r="L77" s="19">
        <v>2</v>
      </c>
      <c r="M77" s="19">
        <f>SUM(I77:L77)</f>
        <v>2</v>
      </c>
      <c r="N77" s="35"/>
      <c r="O77" s="36"/>
      <c r="P77" s="234">
        <f t="shared" ref="P77:P85" si="23">G77*0.486*30%*0</f>
        <v>0</v>
      </c>
      <c r="Q77" s="16"/>
    </row>
    <row r="78" spans="1:20" ht="17.25" customHeight="1" x14ac:dyDescent="0.3">
      <c r="A78" s="16"/>
      <c r="B78" s="14" t="s">
        <v>58</v>
      </c>
      <c r="C78" s="15" t="s">
        <v>21</v>
      </c>
      <c r="D78" s="26">
        <v>24.61</v>
      </c>
      <c r="E78" s="47" t="s">
        <v>187</v>
      </c>
      <c r="F78" s="26">
        <f>10%*D78</f>
        <v>2.4610000000000003</v>
      </c>
      <c r="G78" s="26">
        <f>25%*D78</f>
        <v>6.1524999999999999</v>
      </c>
      <c r="H78" s="26">
        <f t="shared" si="22"/>
        <v>8.6135000000000002</v>
      </c>
      <c r="I78" s="19">
        <v>0</v>
      </c>
      <c r="J78" s="19"/>
      <c r="K78" s="19"/>
      <c r="L78" s="19">
        <v>3</v>
      </c>
      <c r="M78" s="19">
        <f t="shared" ref="M78:M85" si="24">SUM(I78:L78)</f>
        <v>3</v>
      </c>
      <c r="N78" s="35"/>
      <c r="O78" s="36" t="s">
        <v>50</v>
      </c>
      <c r="P78" s="234">
        <f t="shared" si="23"/>
        <v>0</v>
      </c>
      <c r="Q78" s="16"/>
      <c r="S78" s="1" t="s">
        <v>636</v>
      </c>
      <c r="T78" s="1" t="s">
        <v>637</v>
      </c>
    </row>
    <row r="79" spans="1:20" ht="16.5" customHeight="1" x14ac:dyDescent="0.3">
      <c r="A79" s="16"/>
      <c r="B79" s="14"/>
      <c r="C79" s="15"/>
      <c r="D79" s="26"/>
      <c r="E79" s="47" t="s">
        <v>631</v>
      </c>
      <c r="F79" s="96">
        <f>5%*D78</f>
        <v>1.2305000000000001</v>
      </c>
      <c r="G79" s="96">
        <f>8%*D78</f>
        <v>1.9688000000000001</v>
      </c>
      <c r="H79" s="96">
        <f t="shared" si="22"/>
        <v>3.1993</v>
      </c>
      <c r="I79" s="97">
        <v>0</v>
      </c>
      <c r="J79" s="97">
        <v>0</v>
      </c>
      <c r="K79" s="97">
        <v>0</v>
      </c>
      <c r="L79" s="97">
        <v>1</v>
      </c>
      <c r="M79" s="97">
        <f t="shared" si="24"/>
        <v>1</v>
      </c>
      <c r="N79" s="35"/>
      <c r="O79" s="36"/>
      <c r="P79" s="234">
        <f t="shared" si="23"/>
        <v>0</v>
      </c>
      <c r="Q79" s="16"/>
      <c r="T79" s="1" t="s">
        <v>638</v>
      </c>
    </row>
    <row r="80" spans="1:20" ht="16.5" customHeight="1" x14ac:dyDescent="0.3">
      <c r="A80" s="16"/>
      <c r="B80" s="14" t="s">
        <v>59</v>
      </c>
      <c r="C80" s="15" t="s">
        <v>43</v>
      </c>
      <c r="D80" s="26">
        <v>22.64</v>
      </c>
      <c r="E80" s="47" t="s">
        <v>187</v>
      </c>
      <c r="F80" s="96">
        <f>10%*D80</f>
        <v>2.2640000000000002</v>
      </c>
      <c r="G80" s="26">
        <f>5%*D80</f>
        <v>1.1320000000000001</v>
      </c>
      <c r="H80" s="26">
        <f t="shared" si="22"/>
        <v>3.3960000000000004</v>
      </c>
      <c r="I80" s="19">
        <v>0</v>
      </c>
      <c r="J80" s="19"/>
      <c r="K80" s="19"/>
      <c r="L80" s="19">
        <v>2</v>
      </c>
      <c r="M80" s="19">
        <f t="shared" si="24"/>
        <v>2</v>
      </c>
      <c r="N80" s="35"/>
      <c r="O80" s="36" t="s">
        <v>137</v>
      </c>
      <c r="P80" s="234">
        <f t="shared" si="23"/>
        <v>0</v>
      </c>
      <c r="Q80" s="16"/>
    </row>
    <row r="81" spans="1:20" ht="18.75" customHeight="1" x14ac:dyDescent="0.3">
      <c r="A81" s="16"/>
      <c r="B81" s="14" t="s">
        <v>60</v>
      </c>
      <c r="C81" s="15" t="s">
        <v>44</v>
      </c>
      <c r="D81" s="26">
        <v>33</v>
      </c>
      <c r="E81" s="47" t="s">
        <v>187</v>
      </c>
      <c r="F81" s="26">
        <f>9%*D81</f>
        <v>2.9699999999999998</v>
      </c>
      <c r="G81" s="26">
        <f>8%*D81</f>
        <v>2.64</v>
      </c>
      <c r="H81" s="26">
        <f t="shared" si="22"/>
        <v>5.6099999999999994</v>
      </c>
      <c r="I81" s="19">
        <v>0</v>
      </c>
      <c r="J81" s="19">
        <v>0</v>
      </c>
      <c r="K81" s="19">
        <v>0</v>
      </c>
      <c r="L81" s="19">
        <v>2</v>
      </c>
      <c r="M81" s="19">
        <f t="shared" si="24"/>
        <v>2</v>
      </c>
      <c r="N81" s="35"/>
      <c r="O81" s="36" t="s">
        <v>145</v>
      </c>
      <c r="P81" s="234">
        <f t="shared" si="23"/>
        <v>0</v>
      </c>
      <c r="Q81" s="16"/>
    </row>
    <row r="82" spans="1:20" ht="18.75" customHeight="1" x14ac:dyDescent="0.3">
      <c r="A82" s="16"/>
      <c r="B82" s="14" t="s">
        <v>61</v>
      </c>
      <c r="C82" s="15" t="s">
        <v>33</v>
      </c>
      <c r="D82" s="26">
        <v>8.3000000000000007</v>
      </c>
      <c r="E82" s="47" t="s">
        <v>187</v>
      </c>
      <c r="F82" s="26">
        <f>10%*D82</f>
        <v>0.83000000000000007</v>
      </c>
      <c r="G82" s="26">
        <f>7%*D82</f>
        <v>0.58100000000000007</v>
      </c>
      <c r="H82" s="26">
        <f t="shared" si="22"/>
        <v>1.411</v>
      </c>
      <c r="I82" s="19">
        <v>0</v>
      </c>
      <c r="J82" s="19">
        <v>0</v>
      </c>
      <c r="K82" s="19">
        <v>0</v>
      </c>
      <c r="L82" s="19">
        <v>2</v>
      </c>
      <c r="M82" s="19">
        <f t="shared" si="24"/>
        <v>2</v>
      </c>
      <c r="N82" s="35"/>
      <c r="O82" s="36" t="s">
        <v>626</v>
      </c>
      <c r="P82" s="234">
        <f t="shared" si="23"/>
        <v>0</v>
      </c>
      <c r="Q82" s="16"/>
    </row>
    <row r="83" spans="1:20" ht="19.5" customHeight="1" x14ac:dyDescent="0.3">
      <c r="A83" s="16"/>
      <c r="B83" s="14" t="s">
        <v>62</v>
      </c>
      <c r="C83" s="15" t="s">
        <v>655</v>
      </c>
      <c r="D83" s="26">
        <v>5</v>
      </c>
      <c r="E83" s="47" t="s">
        <v>187</v>
      </c>
      <c r="F83" s="26">
        <f>8%*D83</f>
        <v>0.4</v>
      </c>
      <c r="G83" s="26">
        <f>7%*D83</f>
        <v>0.35000000000000003</v>
      </c>
      <c r="H83" s="26">
        <f t="shared" si="22"/>
        <v>0.75</v>
      </c>
      <c r="I83" s="19">
        <v>0</v>
      </c>
      <c r="J83" s="19">
        <v>0</v>
      </c>
      <c r="K83" s="19">
        <v>0</v>
      </c>
      <c r="L83" s="19"/>
      <c r="M83" s="19">
        <f t="shared" si="24"/>
        <v>0</v>
      </c>
      <c r="N83" s="35"/>
      <c r="O83" s="36"/>
      <c r="P83" s="234">
        <f t="shared" si="23"/>
        <v>0</v>
      </c>
      <c r="Q83" s="16"/>
    </row>
    <row r="84" spans="1:20" ht="19.5" customHeight="1" x14ac:dyDescent="0.3">
      <c r="A84" s="16"/>
      <c r="B84" s="14">
        <v>9</v>
      </c>
      <c r="C84" s="15" t="s">
        <v>30</v>
      </c>
      <c r="D84" s="26">
        <v>11.5</v>
      </c>
      <c r="E84" s="47" t="s">
        <v>187</v>
      </c>
      <c r="F84" s="26">
        <f>10%*D84</f>
        <v>1.1500000000000001</v>
      </c>
      <c r="G84" s="26">
        <f>8%*D84</f>
        <v>0.92</v>
      </c>
      <c r="H84" s="26">
        <f t="shared" si="22"/>
        <v>2.0700000000000003</v>
      </c>
      <c r="I84" s="19">
        <v>0</v>
      </c>
      <c r="J84" s="19">
        <v>0</v>
      </c>
      <c r="K84" s="19"/>
      <c r="L84" s="19">
        <v>1</v>
      </c>
      <c r="M84" s="19">
        <f t="shared" si="24"/>
        <v>1</v>
      </c>
      <c r="N84" s="35"/>
      <c r="O84" s="36"/>
      <c r="P84" s="234">
        <f t="shared" si="23"/>
        <v>0</v>
      </c>
      <c r="Q84" s="16"/>
    </row>
    <row r="85" spans="1:20" ht="17.25" customHeight="1" x14ac:dyDescent="0.3">
      <c r="A85" s="87"/>
      <c r="B85" s="55" t="s">
        <v>64</v>
      </c>
      <c r="C85" s="56" t="s">
        <v>31</v>
      </c>
      <c r="D85" s="57">
        <v>6</v>
      </c>
      <c r="E85" s="47" t="s">
        <v>187</v>
      </c>
      <c r="F85" s="26">
        <f>10%*D85</f>
        <v>0.60000000000000009</v>
      </c>
      <c r="G85" s="26">
        <f>10%*D85</f>
        <v>0.60000000000000009</v>
      </c>
      <c r="H85" s="26">
        <f t="shared" si="22"/>
        <v>1.2000000000000002</v>
      </c>
      <c r="I85" s="79">
        <v>0</v>
      </c>
      <c r="J85" s="79">
        <v>0</v>
      </c>
      <c r="K85" s="79">
        <v>0</v>
      </c>
      <c r="L85" s="79">
        <v>1</v>
      </c>
      <c r="M85" s="79">
        <f t="shared" si="24"/>
        <v>1</v>
      </c>
      <c r="N85" s="80"/>
      <c r="O85" s="81"/>
      <c r="P85" s="234">
        <f t="shared" si="23"/>
        <v>0</v>
      </c>
      <c r="Q85" s="87"/>
    </row>
    <row r="86" spans="1:20" ht="15.75" customHeight="1" x14ac:dyDescent="0.3">
      <c r="A86" s="75"/>
      <c r="B86" s="72" t="s">
        <v>349</v>
      </c>
      <c r="C86" s="72"/>
      <c r="D86" s="73">
        <f>SUM(D77:D85)</f>
        <v>124.64999999999999</v>
      </c>
      <c r="E86" s="74"/>
      <c r="F86" s="73">
        <f t="shared" ref="F86:K86" si="25">SUM(F77:F85)</f>
        <v>18.025499999999997</v>
      </c>
      <c r="G86" s="73">
        <f t="shared" si="25"/>
        <v>15.296299999999999</v>
      </c>
      <c r="H86" s="73">
        <f t="shared" si="25"/>
        <v>33.32180000000001</v>
      </c>
      <c r="I86" s="83">
        <f t="shared" si="25"/>
        <v>0</v>
      </c>
      <c r="J86" s="83">
        <f t="shared" si="25"/>
        <v>0</v>
      </c>
      <c r="K86" s="83">
        <f t="shared" si="25"/>
        <v>0</v>
      </c>
      <c r="L86" s="83">
        <f>SUM(L76:L85)</f>
        <v>14</v>
      </c>
      <c r="M86" s="83">
        <f>SUM(M77:M85)</f>
        <v>14</v>
      </c>
      <c r="N86" s="76"/>
      <c r="O86" s="77"/>
      <c r="P86" s="184">
        <f>SUM(P77:P85)</f>
        <v>0</v>
      </c>
      <c r="Q86" s="75"/>
    </row>
    <row r="87" spans="1:20" ht="15.75" customHeight="1" x14ac:dyDescent="0.3">
      <c r="A87" s="103">
        <v>6</v>
      </c>
      <c r="B87" s="104" t="s">
        <v>116</v>
      </c>
      <c r="C87" s="104"/>
      <c r="D87" s="105"/>
      <c r="E87" s="106"/>
      <c r="F87" s="105"/>
      <c r="G87" s="107"/>
      <c r="H87" s="105"/>
      <c r="I87" s="107"/>
      <c r="J87" s="107"/>
      <c r="K87" s="107"/>
      <c r="L87" s="107"/>
      <c r="M87" s="107"/>
      <c r="N87" s="69"/>
      <c r="O87" s="70"/>
      <c r="P87" s="233"/>
      <c r="Q87" s="68"/>
      <c r="S87" s="1" t="s">
        <v>596</v>
      </c>
    </row>
    <row r="88" spans="1:20" ht="14.25" customHeight="1" x14ac:dyDescent="0.3">
      <c r="A88" s="27"/>
      <c r="B88" s="152" t="s">
        <v>57</v>
      </c>
      <c r="C88" s="99" t="s">
        <v>30</v>
      </c>
      <c r="D88" s="154">
        <v>54.84</v>
      </c>
      <c r="E88" s="101" t="s">
        <v>607</v>
      </c>
      <c r="F88" s="154">
        <f>6%*D88</f>
        <v>3.2904</v>
      </c>
      <c r="G88" s="155">
        <f>8%*D88</f>
        <v>4.3872</v>
      </c>
      <c r="H88" s="154">
        <f t="shared" ref="H88:H93" si="26">SUM(F88:G88)</f>
        <v>7.6776</v>
      </c>
      <c r="I88" s="155">
        <v>0</v>
      </c>
      <c r="J88" s="155"/>
      <c r="K88" s="155"/>
      <c r="L88" s="155">
        <v>3</v>
      </c>
      <c r="M88" s="155">
        <f>SUM(I88:L88)</f>
        <v>3</v>
      </c>
      <c r="N88" s="156" t="s">
        <v>86</v>
      </c>
      <c r="O88" s="36" t="s">
        <v>271</v>
      </c>
      <c r="P88" s="235">
        <f t="shared" ref="P88:P93" si="27">G88*0.347*30*21000000</f>
        <v>959085791.99999988</v>
      </c>
      <c r="Q88" s="27"/>
      <c r="S88" s="1" t="s">
        <v>597</v>
      </c>
      <c r="T88" s="1" t="s">
        <v>598</v>
      </c>
    </row>
    <row r="89" spans="1:20" ht="12.75" customHeight="1" x14ac:dyDescent="0.3">
      <c r="A89" s="27"/>
      <c r="B89" s="152"/>
      <c r="C89" s="153"/>
      <c r="D89" s="154"/>
      <c r="E89" s="101" t="s">
        <v>625</v>
      </c>
      <c r="F89" s="154">
        <f>8%*D88</f>
        <v>4.3872</v>
      </c>
      <c r="G89" s="155">
        <f>3%*D88</f>
        <v>1.6452</v>
      </c>
      <c r="H89" s="154">
        <f t="shared" ref="H89" si="28">SUM(F89:G89)</f>
        <v>6.0324</v>
      </c>
      <c r="I89" s="155">
        <v>0</v>
      </c>
      <c r="J89" s="155"/>
      <c r="K89" s="155"/>
      <c r="L89" s="155">
        <v>1</v>
      </c>
      <c r="M89" s="155">
        <f>SUM(I89:L89)</f>
        <v>1</v>
      </c>
      <c r="N89" s="156"/>
      <c r="O89" s="40"/>
      <c r="P89" s="235">
        <f t="shared" si="27"/>
        <v>359657171.99999994</v>
      </c>
      <c r="Q89" s="27"/>
    </row>
    <row r="90" spans="1:20" ht="18" customHeight="1" x14ac:dyDescent="0.3">
      <c r="A90" s="16"/>
      <c r="B90" s="14" t="s">
        <v>58</v>
      </c>
      <c r="C90" s="15" t="s">
        <v>44</v>
      </c>
      <c r="D90" s="26">
        <v>84.65</v>
      </c>
      <c r="E90" s="47" t="s">
        <v>182</v>
      </c>
      <c r="F90" s="26">
        <f>9%*D90</f>
        <v>7.6185</v>
      </c>
      <c r="G90" s="19">
        <f>9%*D90</f>
        <v>7.6185</v>
      </c>
      <c r="H90" s="26">
        <f t="shared" si="26"/>
        <v>15.237</v>
      </c>
      <c r="I90" s="19">
        <v>0</v>
      </c>
      <c r="J90" s="19"/>
      <c r="K90" s="19"/>
      <c r="L90" s="19">
        <v>3</v>
      </c>
      <c r="M90" s="19">
        <f t="shared" ref="M90:M93" si="29">SUM(I90:L90)</f>
        <v>3</v>
      </c>
      <c r="N90" s="35"/>
      <c r="O90" s="36" t="s">
        <v>272</v>
      </c>
      <c r="P90" s="235">
        <f t="shared" si="27"/>
        <v>1665480284.9999998</v>
      </c>
      <c r="Q90" s="16"/>
      <c r="S90" s="1" t="s">
        <v>599</v>
      </c>
      <c r="T90" s="1" t="s">
        <v>600</v>
      </c>
    </row>
    <row r="91" spans="1:20" ht="21" customHeight="1" x14ac:dyDescent="0.3">
      <c r="A91" s="16"/>
      <c r="B91" s="14"/>
      <c r="C91" s="15"/>
      <c r="D91" s="26"/>
      <c r="E91" s="101" t="s">
        <v>181</v>
      </c>
      <c r="F91" s="96">
        <f>9%*D90</f>
        <v>7.6185</v>
      </c>
      <c r="G91" s="97">
        <f>5%*D90</f>
        <v>4.2325000000000008</v>
      </c>
      <c r="H91" s="96">
        <f t="shared" si="26"/>
        <v>11.851000000000001</v>
      </c>
      <c r="I91" s="97">
        <v>0</v>
      </c>
      <c r="J91" s="97"/>
      <c r="K91" s="97">
        <v>0</v>
      </c>
      <c r="L91" s="97">
        <v>5</v>
      </c>
      <c r="M91" s="97">
        <f>SUM(I91:L91)</f>
        <v>5</v>
      </c>
      <c r="N91" s="35"/>
      <c r="O91" s="159" t="s">
        <v>273</v>
      </c>
      <c r="P91" s="235">
        <f t="shared" si="27"/>
        <v>925266825.00000012</v>
      </c>
      <c r="Q91" s="16"/>
    </row>
    <row r="92" spans="1:20" ht="23.25" customHeight="1" x14ac:dyDescent="0.3">
      <c r="A92" s="16"/>
      <c r="B92" s="14" t="s">
        <v>59</v>
      </c>
      <c r="C92" s="15" t="s">
        <v>33</v>
      </c>
      <c r="D92" s="26">
        <v>14.2</v>
      </c>
      <c r="E92" s="101" t="s">
        <v>181</v>
      </c>
      <c r="F92" s="96">
        <f>10%*D92</f>
        <v>1.42</v>
      </c>
      <c r="G92" s="240">
        <f>10%*D92</f>
        <v>1.42</v>
      </c>
      <c r="H92" s="26">
        <f t="shared" si="26"/>
        <v>2.84</v>
      </c>
      <c r="I92" s="19">
        <v>0</v>
      </c>
      <c r="J92" s="19"/>
      <c r="K92" s="19"/>
      <c r="L92" s="19">
        <v>3</v>
      </c>
      <c r="M92" s="19">
        <f t="shared" si="29"/>
        <v>3</v>
      </c>
      <c r="N92" s="35" t="s">
        <v>88</v>
      </c>
      <c r="O92" s="36" t="s">
        <v>274</v>
      </c>
      <c r="P92" s="235">
        <f t="shared" si="27"/>
        <v>310426200</v>
      </c>
      <c r="Q92" s="16"/>
      <c r="S92" s="1" t="s">
        <v>592</v>
      </c>
    </row>
    <row r="93" spans="1:20" ht="26.25" customHeight="1" x14ac:dyDescent="0.3">
      <c r="A93" s="108"/>
      <c r="B93" s="128" t="s">
        <v>61</v>
      </c>
      <c r="C93" s="126" t="s">
        <v>35</v>
      </c>
      <c r="D93" s="127">
        <v>36.72</v>
      </c>
      <c r="E93" s="142" t="s">
        <v>183</v>
      </c>
      <c r="F93" s="127">
        <f>8%*D93</f>
        <v>2.9375999999999998</v>
      </c>
      <c r="G93" s="240">
        <f>3%*D93</f>
        <v>1.1015999999999999</v>
      </c>
      <c r="H93" s="127">
        <f t="shared" si="26"/>
        <v>4.0391999999999992</v>
      </c>
      <c r="I93" s="143">
        <v>0</v>
      </c>
      <c r="J93" s="143">
        <v>0</v>
      </c>
      <c r="K93" s="143">
        <v>0</v>
      </c>
      <c r="L93" s="143">
        <v>3</v>
      </c>
      <c r="M93" s="143">
        <f t="shared" si="29"/>
        <v>3</v>
      </c>
      <c r="N93" s="157" t="s">
        <v>254</v>
      </c>
      <c r="O93" s="158" t="s">
        <v>137</v>
      </c>
      <c r="P93" s="235">
        <f t="shared" si="27"/>
        <v>240820775.99999997</v>
      </c>
      <c r="Q93" s="87"/>
      <c r="S93" s="217" t="s">
        <v>601</v>
      </c>
      <c r="T93" s="216" t="s">
        <v>602</v>
      </c>
    </row>
    <row r="94" spans="1:20" ht="20.25" customHeight="1" x14ac:dyDescent="0.3">
      <c r="A94" s="75"/>
      <c r="B94" s="136" t="s">
        <v>351</v>
      </c>
      <c r="C94" s="137"/>
      <c r="D94" s="138">
        <f>SUM(D88:D93)</f>
        <v>190.41</v>
      </c>
      <c r="E94" s="139"/>
      <c r="F94" s="138">
        <f t="shared" ref="F94:M94" si="30">SUM(F88:F93)</f>
        <v>27.272200000000002</v>
      </c>
      <c r="G94" s="140">
        <f t="shared" si="30"/>
        <v>20.405000000000005</v>
      </c>
      <c r="H94" s="138">
        <f t="shared" si="30"/>
        <v>47.677200000000006</v>
      </c>
      <c r="I94" s="140">
        <f t="shared" si="30"/>
        <v>0</v>
      </c>
      <c r="J94" s="140">
        <f t="shared" si="30"/>
        <v>0</v>
      </c>
      <c r="K94" s="140">
        <f t="shared" si="30"/>
        <v>0</v>
      </c>
      <c r="L94" s="140">
        <f t="shared" si="30"/>
        <v>18</v>
      </c>
      <c r="M94" s="140">
        <f t="shared" si="30"/>
        <v>18</v>
      </c>
      <c r="N94" s="76"/>
      <c r="O94" s="77"/>
      <c r="P94" s="237">
        <f>SUM(P88:P93)</f>
        <v>4460737049.999999</v>
      </c>
      <c r="Q94" s="75"/>
    </row>
    <row r="95" spans="1:20" ht="13.5" customHeight="1" x14ac:dyDescent="0.3">
      <c r="A95" s="63">
        <v>7</v>
      </c>
      <c r="B95" s="8" t="s">
        <v>117</v>
      </c>
      <c r="C95" s="10"/>
      <c r="D95" s="90"/>
      <c r="E95" s="67"/>
      <c r="F95" s="66"/>
      <c r="G95" s="218"/>
      <c r="H95" s="66"/>
      <c r="I95" s="82"/>
      <c r="J95" s="82"/>
      <c r="K95" s="82"/>
      <c r="L95" s="82"/>
      <c r="M95" s="82"/>
      <c r="N95" s="69"/>
      <c r="O95" s="70"/>
      <c r="P95" s="233"/>
      <c r="Q95" s="68"/>
    </row>
    <row r="96" spans="1:20" ht="24.75" customHeight="1" x14ac:dyDescent="0.3">
      <c r="A96" s="16"/>
      <c r="B96" s="14" t="s">
        <v>57</v>
      </c>
      <c r="C96" s="15" t="s">
        <v>22</v>
      </c>
      <c r="D96" s="26">
        <v>300.95</v>
      </c>
      <c r="E96" s="101" t="s">
        <v>203</v>
      </c>
      <c r="F96" s="96">
        <f>3%*D96</f>
        <v>9.0284999999999993</v>
      </c>
      <c r="G96" s="223">
        <f>30%*D96</f>
        <v>90.284999999999997</v>
      </c>
      <c r="H96" s="96">
        <f t="shared" ref="H96:H103" si="31">SUM(F96:G96)</f>
        <v>99.313499999999991</v>
      </c>
      <c r="I96" s="97">
        <v>0</v>
      </c>
      <c r="J96" s="97"/>
      <c r="K96" s="97">
        <v>10</v>
      </c>
      <c r="L96" s="97">
        <v>4</v>
      </c>
      <c r="M96" s="97">
        <f>SUM(I96:L96)</f>
        <v>14</v>
      </c>
      <c r="N96" s="35"/>
      <c r="O96" s="40" t="s">
        <v>211</v>
      </c>
      <c r="P96" s="238">
        <f t="shared" ref="P96:P103" si="32">G96*0.3*30%*40000000</f>
        <v>325026000</v>
      </c>
      <c r="Q96" s="16"/>
    </row>
    <row r="97" spans="1:19" ht="15" customHeight="1" x14ac:dyDescent="0.3">
      <c r="A97" s="16"/>
      <c r="B97" s="14"/>
      <c r="C97" s="15"/>
      <c r="D97" s="26"/>
      <c r="E97" s="101" t="s">
        <v>184</v>
      </c>
      <c r="F97" s="96">
        <f>2%*D96</f>
        <v>6.0190000000000001</v>
      </c>
      <c r="G97" s="97">
        <f>3%*D96</f>
        <v>9.0284999999999993</v>
      </c>
      <c r="H97" s="96">
        <f>SUM(F97:G97)</f>
        <v>15.047499999999999</v>
      </c>
      <c r="I97" s="97">
        <v>0</v>
      </c>
      <c r="J97" s="97"/>
      <c r="K97" s="97">
        <v>0</v>
      </c>
      <c r="L97" s="97">
        <v>2</v>
      </c>
      <c r="M97" s="97">
        <f>SUM(I97:L97)</f>
        <v>2</v>
      </c>
      <c r="N97" s="35"/>
      <c r="O97" s="40"/>
      <c r="P97" s="238">
        <f t="shared" si="32"/>
        <v>32502599.999999996</v>
      </c>
      <c r="Q97" s="16"/>
    </row>
    <row r="98" spans="1:19" ht="32.25" customHeight="1" x14ac:dyDescent="0.3">
      <c r="A98" s="16"/>
      <c r="B98" s="98" t="s">
        <v>58</v>
      </c>
      <c r="C98" s="99" t="s">
        <v>42</v>
      </c>
      <c r="D98" s="26">
        <v>277.5</v>
      </c>
      <c r="E98" s="101" t="s">
        <v>203</v>
      </c>
      <c r="F98" s="96">
        <f>2%*D98</f>
        <v>5.55</v>
      </c>
      <c r="G98" s="97">
        <f>40%*D98</f>
        <v>111</v>
      </c>
      <c r="H98" s="96">
        <f t="shared" si="31"/>
        <v>116.55</v>
      </c>
      <c r="I98" s="97">
        <v>0</v>
      </c>
      <c r="J98" s="97"/>
      <c r="K98" s="97">
        <v>0</v>
      </c>
      <c r="L98" s="97">
        <v>5</v>
      </c>
      <c r="M98" s="97">
        <f>SUM(I98:L98)</f>
        <v>5</v>
      </c>
      <c r="N98" s="35"/>
      <c r="O98" s="40" t="s">
        <v>137</v>
      </c>
      <c r="P98" s="238">
        <f t="shared" si="32"/>
        <v>399599999.99999994</v>
      </c>
      <c r="Q98" s="16"/>
      <c r="S98" s="1" t="s">
        <v>593</v>
      </c>
    </row>
    <row r="99" spans="1:19" ht="14.25" customHeight="1" x14ac:dyDescent="0.3">
      <c r="A99" s="16"/>
      <c r="B99" s="14"/>
      <c r="C99" s="15"/>
      <c r="D99" s="26"/>
      <c r="E99" s="101" t="s">
        <v>184</v>
      </c>
      <c r="F99" s="96">
        <f>3%*D98</f>
        <v>8.3249999999999993</v>
      </c>
      <c r="G99" s="97">
        <f>5%*D98</f>
        <v>13.875</v>
      </c>
      <c r="H99" s="96">
        <f>SUM(F99:G99)</f>
        <v>22.2</v>
      </c>
      <c r="I99" s="97"/>
      <c r="J99" s="97"/>
      <c r="K99" s="97"/>
      <c r="L99" s="97"/>
      <c r="M99" s="97"/>
      <c r="N99" s="35"/>
      <c r="O99" s="40"/>
      <c r="P99" s="238">
        <f t="shared" si="32"/>
        <v>49949999.999999993</v>
      </c>
      <c r="Q99" s="16"/>
      <c r="S99" s="1" t="s">
        <v>594</v>
      </c>
    </row>
    <row r="100" spans="1:19" ht="22.5" customHeight="1" x14ac:dyDescent="0.3">
      <c r="A100" s="16"/>
      <c r="B100" s="14" t="s">
        <v>59</v>
      </c>
      <c r="C100" s="15" t="s">
        <v>21</v>
      </c>
      <c r="D100" s="18">
        <v>162.94999999999999</v>
      </c>
      <c r="E100" s="101" t="s">
        <v>203</v>
      </c>
      <c r="F100" s="225">
        <f>5%*D100</f>
        <v>8.1474999999999991</v>
      </c>
      <c r="G100" s="225">
        <f>20%*D100</f>
        <v>32.589999999999996</v>
      </c>
      <c r="H100" s="96">
        <f t="shared" si="31"/>
        <v>40.737499999999997</v>
      </c>
      <c r="I100" s="97">
        <v>0</v>
      </c>
      <c r="J100" s="97"/>
      <c r="K100" s="97">
        <v>6</v>
      </c>
      <c r="L100" s="97">
        <v>5</v>
      </c>
      <c r="M100" s="97">
        <f>SUM(I100:L100)</f>
        <v>11</v>
      </c>
      <c r="N100" s="35"/>
      <c r="O100" s="36"/>
      <c r="P100" s="238">
        <f t="shared" si="32"/>
        <v>117323999.99999999</v>
      </c>
      <c r="Q100" s="16"/>
      <c r="S100" s="1" t="s">
        <v>595</v>
      </c>
    </row>
    <row r="101" spans="1:19" ht="24" customHeight="1" x14ac:dyDescent="0.3">
      <c r="A101" s="16"/>
      <c r="B101" s="14" t="s">
        <v>60</v>
      </c>
      <c r="C101" s="15" t="s">
        <v>43</v>
      </c>
      <c r="D101" s="26">
        <v>461.8</v>
      </c>
      <c r="E101" s="101" t="s">
        <v>221</v>
      </c>
      <c r="F101" s="96">
        <f>3%*D101</f>
        <v>13.853999999999999</v>
      </c>
      <c r="G101" s="97">
        <f>30%*D101</f>
        <v>138.54</v>
      </c>
      <c r="H101" s="96">
        <f t="shared" si="31"/>
        <v>152.39400000000001</v>
      </c>
      <c r="I101" s="97">
        <v>0</v>
      </c>
      <c r="J101" s="97"/>
      <c r="K101" s="97">
        <v>6</v>
      </c>
      <c r="L101" s="97">
        <v>4</v>
      </c>
      <c r="M101" s="97">
        <f>SUM(I101:L101)</f>
        <v>10</v>
      </c>
      <c r="N101" s="35"/>
      <c r="O101" s="36"/>
      <c r="P101" s="238">
        <f t="shared" si="32"/>
        <v>498743999.99999994</v>
      </c>
      <c r="Q101" s="16"/>
    </row>
    <row r="102" spans="1:19" ht="20.25" customHeight="1" x14ac:dyDescent="0.3">
      <c r="A102" s="16"/>
      <c r="B102" s="14"/>
      <c r="C102" s="15"/>
      <c r="D102" s="26"/>
      <c r="E102" s="101" t="s">
        <v>184</v>
      </c>
      <c r="F102" s="96">
        <f>5%*D101</f>
        <v>23.090000000000003</v>
      </c>
      <c r="G102" s="96">
        <f>8%*D101</f>
        <v>36.944000000000003</v>
      </c>
      <c r="H102" s="96">
        <f>SUM(F102:G102)</f>
        <v>60.034000000000006</v>
      </c>
      <c r="I102" s="97"/>
      <c r="J102" s="97"/>
      <c r="K102" s="97"/>
      <c r="L102" s="97"/>
      <c r="M102" s="97"/>
      <c r="N102" s="35"/>
      <c r="O102" s="36"/>
      <c r="P102" s="238">
        <f t="shared" si="32"/>
        <v>132998400</v>
      </c>
      <c r="Q102" s="16"/>
    </row>
    <row r="103" spans="1:19" ht="23.25" customHeight="1" x14ac:dyDescent="0.3">
      <c r="A103" s="16"/>
      <c r="B103" s="14" t="s">
        <v>61</v>
      </c>
      <c r="C103" s="15" t="s">
        <v>44</v>
      </c>
      <c r="D103" s="26">
        <v>84.65</v>
      </c>
      <c r="E103" s="101" t="s">
        <v>203</v>
      </c>
      <c r="F103" s="26">
        <f>10%*D103</f>
        <v>8.4650000000000016</v>
      </c>
      <c r="G103" s="220">
        <f>40%*D103</f>
        <v>33.860000000000007</v>
      </c>
      <c r="H103" s="26">
        <f t="shared" si="31"/>
        <v>42.32500000000001</v>
      </c>
      <c r="I103" s="19">
        <v>0</v>
      </c>
      <c r="J103" s="19"/>
      <c r="K103" s="19"/>
      <c r="L103" s="19">
        <v>6</v>
      </c>
      <c r="M103" s="19">
        <f t="shared" ref="M103" si="33">SUM(I103:L103)</f>
        <v>6</v>
      </c>
      <c r="N103" s="35"/>
      <c r="O103" s="36"/>
      <c r="P103" s="238">
        <f t="shared" si="32"/>
        <v>121896000</v>
      </c>
      <c r="Q103" s="16"/>
    </row>
    <row r="104" spans="1:19" ht="18.75" customHeight="1" x14ac:dyDescent="0.3">
      <c r="A104" s="75"/>
      <c r="B104" s="72" t="s">
        <v>350</v>
      </c>
      <c r="C104" s="72"/>
      <c r="D104" s="73">
        <f>SUM(D90:D103)</f>
        <v>1613.8300000000002</v>
      </c>
      <c r="E104" s="74"/>
      <c r="F104" s="73">
        <v>4</v>
      </c>
      <c r="G104" s="83">
        <f>SUM(G82:G103)</f>
        <v>524.6798</v>
      </c>
      <c r="H104" s="73">
        <f>SUM(H82:H103)</f>
        <v>682.70870000000002</v>
      </c>
      <c r="I104" s="83">
        <f>SUM(I90:I103)</f>
        <v>0</v>
      </c>
      <c r="J104" s="83">
        <f>SUM(J90:J103)</f>
        <v>0</v>
      </c>
      <c r="K104" s="83">
        <f>SUM(K90:K103)</f>
        <v>22</v>
      </c>
      <c r="L104" s="83">
        <f>SUM(L90:L103)</f>
        <v>58</v>
      </c>
      <c r="M104" s="83">
        <f>SUM(M88:M103)</f>
        <v>84</v>
      </c>
      <c r="N104" s="76"/>
      <c r="O104" s="77"/>
      <c r="P104" s="184">
        <f>SUM(P95:P103)</f>
        <v>1678041000</v>
      </c>
      <c r="Q104" s="75"/>
    </row>
    <row r="105" spans="1:19" ht="4.5" customHeight="1" x14ac:dyDescent="0.3">
      <c r="F105" s="2"/>
      <c r="G105" s="2"/>
      <c r="H105" s="2"/>
      <c r="I105" s="2"/>
      <c r="J105" s="2"/>
      <c r="K105" s="2"/>
      <c r="L105" s="2"/>
      <c r="M105" s="2"/>
    </row>
    <row r="106" spans="1:19" ht="16.5" hidden="1" customHeight="1" x14ac:dyDescent="0.3">
      <c r="F106" s="2"/>
      <c r="G106" s="2"/>
      <c r="H106" s="2"/>
      <c r="I106" s="2"/>
      <c r="J106" s="2" t="s">
        <v>666</v>
      </c>
      <c r="K106" s="2"/>
      <c r="L106" s="2"/>
      <c r="M106" s="2"/>
    </row>
    <row r="107" spans="1:19" ht="12" hidden="1" customHeight="1" x14ac:dyDescent="0.3">
      <c r="A107" s="395" t="s">
        <v>80</v>
      </c>
      <c r="B107" s="395"/>
      <c r="C107" s="395"/>
      <c r="D107" s="395"/>
    </row>
    <row r="108" spans="1:19" hidden="1" x14ac:dyDescent="0.3">
      <c r="A108" s="395" t="s">
        <v>81</v>
      </c>
      <c r="B108" s="395"/>
      <c r="C108" s="395"/>
      <c r="D108" s="395"/>
      <c r="J108" s="1" t="s">
        <v>85</v>
      </c>
    </row>
    <row r="109" spans="1:19" hidden="1" x14ac:dyDescent="0.3">
      <c r="A109" s="395" t="s">
        <v>82</v>
      </c>
      <c r="B109" s="395"/>
      <c r="C109" s="395"/>
      <c r="D109" s="395"/>
      <c r="J109" s="3" t="s">
        <v>86</v>
      </c>
      <c r="K109" s="1" t="s">
        <v>175</v>
      </c>
      <c r="O109" s="1" t="s">
        <v>90</v>
      </c>
    </row>
    <row r="110" spans="1:19" hidden="1" x14ac:dyDescent="0.3">
      <c r="A110" s="395" t="s">
        <v>83</v>
      </c>
      <c r="B110" s="395"/>
      <c r="C110" s="395"/>
      <c r="D110" s="395"/>
      <c r="K110" s="1" t="s">
        <v>651</v>
      </c>
    </row>
    <row r="111" spans="1:19" ht="9.75" hidden="1" customHeight="1" x14ac:dyDescent="0.3"/>
    <row r="112" spans="1:19" ht="14.25" hidden="1" customHeight="1" x14ac:dyDescent="0.3">
      <c r="J112" s="3" t="s">
        <v>88</v>
      </c>
      <c r="K112" s="1" t="s">
        <v>87</v>
      </c>
      <c r="O112" s="1" t="s">
        <v>90</v>
      </c>
    </row>
    <row r="113" spans="1:15" hidden="1" x14ac:dyDescent="0.3">
      <c r="K113" s="1" t="s">
        <v>91</v>
      </c>
    </row>
    <row r="114" spans="1:15" ht="13.5" hidden="1" customHeight="1" x14ac:dyDescent="0.3">
      <c r="A114" s="398" t="s">
        <v>175</v>
      </c>
      <c r="B114" s="398"/>
      <c r="C114" s="398"/>
      <c r="D114" s="398"/>
    </row>
    <row r="115" spans="1:15" hidden="1" x14ac:dyDescent="0.3">
      <c r="A115" s="395" t="s">
        <v>190</v>
      </c>
      <c r="B115" s="395"/>
      <c r="C115" s="395"/>
      <c r="D115" s="395"/>
      <c r="J115" s="1" t="s">
        <v>254</v>
      </c>
      <c r="K115" s="1" t="s">
        <v>89</v>
      </c>
      <c r="O115" s="1" t="s">
        <v>90</v>
      </c>
    </row>
    <row r="116" spans="1:15" hidden="1" x14ac:dyDescent="0.3">
      <c r="K116" s="1" t="s">
        <v>92</v>
      </c>
    </row>
    <row r="117" spans="1:15" ht="8.25" hidden="1" customHeight="1" x14ac:dyDescent="0.3"/>
    <row r="118" spans="1:15" hidden="1" x14ac:dyDescent="0.3">
      <c r="J118" s="241" t="s">
        <v>265</v>
      </c>
      <c r="K118" s="1" t="s">
        <v>652</v>
      </c>
      <c r="O118" s="1" t="s">
        <v>90</v>
      </c>
    </row>
    <row r="119" spans="1:15" ht="14.25" hidden="1" customHeight="1" x14ac:dyDescent="0.3">
      <c r="J119" s="241"/>
      <c r="K119" s="1" t="s">
        <v>658</v>
      </c>
    </row>
    <row r="120" spans="1:15" ht="5.25" hidden="1" customHeight="1" x14ac:dyDescent="0.3">
      <c r="J120" s="241"/>
    </row>
    <row r="121" spans="1:15" hidden="1" x14ac:dyDescent="0.3">
      <c r="J121" s="241" t="s">
        <v>650</v>
      </c>
      <c r="K121" s="1" t="s">
        <v>255</v>
      </c>
      <c r="O121" s="1" t="s">
        <v>90</v>
      </c>
    </row>
    <row r="122" spans="1:15" hidden="1" x14ac:dyDescent="0.3">
      <c r="K122" s="1" t="s">
        <v>654</v>
      </c>
    </row>
  </sheetData>
  <mergeCells count="24">
    <mergeCell ref="A114:D114"/>
    <mergeCell ref="A115:D115"/>
    <mergeCell ref="O42:O54"/>
    <mergeCell ref="O56:O61"/>
    <mergeCell ref="A107:D107"/>
    <mergeCell ref="A108:D108"/>
    <mergeCell ref="A109:D109"/>
    <mergeCell ref="A110:D110"/>
    <mergeCell ref="O34:O40"/>
    <mergeCell ref="A1:Q1"/>
    <mergeCell ref="A2:Q2"/>
    <mergeCell ref="A6:A7"/>
    <mergeCell ref="B6:C6"/>
    <mergeCell ref="D6:D7"/>
    <mergeCell ref="E6:E7"/>
    <mergeCell ref="F6:H6"/>
    <mergeCell ref="I6:M6"/>
    <mergeCell ref="N6:O7"/>
    <mergeCell ref="P6:P7"/>
    <mergeCell ref="Q6:Q7"/>
    <mergeCell ref="B7:C7"/>
    <mergeCell ref="B24:C24"/>
    <mergeCell ref="O26:O31"/>
    <mergeCell ref="B32:C32"/>
  </mergeCells>
  <pageMargins left="0.36" right="0.70866141732283472" top="0.74803149606299213" bottom="0.74803149606299213" header="0.31496062992125984" footer="0.31496062992125984"/>
  <pageSetup paperSize="5" scale="90" orientation="landscape" horizontalDpi="4294967293"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T139"/>
  <sheetViews>
    <sheetView view="pageBreakPreview" topLeftCell="A16" zoomScale="96" zoomScaleNormal="100" zoomScaleSheetLayoutView="96" workbookViewId="0">
      <selection activeCell="O34" sqref="O34"/>
    </sheetView>
  </sheetViews>
  <sheetFormatPr defaultColWidth="9.1796875" defaultRowHeight="14" x14ac:dyDescent="0.3"/>
  <cols>
    <col min="1" max="1" width="4.81640625" style="1" customWidth="1"/>
    <col min="2" max="2" width="2.1796875" style="1" customWidth="1"/>
    <col min="3" max="3" width="16.26953125" style="1" customWidth="1"/>
    <col min="4" max="4" width="12" style="1" customWidth="1"/>
    <col min="5" max="5" width="30.54296875" style="1" customWidth="1"/>
    <col min="6" max="6" width="11" style="1" bestFit="1" customWidth="1"/>
    <col min="7" max="7" width="8.81640625" style="1" customWidth="1"/>
    <col min="8" max="8" width="9" style="1" customWidth="1"/>
    <col min="9" max="9" width="6.7265625" style="1" customWidth="1"/>
    <col min="10" max="10" width="7" style="1" customWidth="1"/>
    <col min="11" max="12" width="7.54296875" style="1" customWidth="1"/>
    <col min="13" max="13" width="6.81640625" style="1" bestFit="1" customWidth="1"/>
    <col min="14" max="14" width="2" style="1" customWidth="1"/>
    <col min="15" max="15" width="17" style="1" customWidth="1"/>
    <col min="16" max="16" width="15" style="1" customWidth="1"/>
    <col min="17" max="17" width="8.81640625" style="1" customWidth="1"/>
    <col min="18" max="19" width="9.1796875" style="1"/>
    <col min="20" max="20" width="10.7265625" style="1" customWidth="1"/>
    <col min="21" max="16384" width="9.1796875" style="1"/>
  </cols>
  <sheetData>
    <row r="1" spans="1:20" x14ac:dyDescent="0.3">
      <c r="A1" s="385" t="s">
        <v>260</v>
      </c>
      <c r="B1" s="385"/>
      <c r="C1" s="385"/>
      <c r="D1" s="385"/>
      <c r="E1" s="385"/>
      <c r="F1" s="385"/>
      <c r="G1" s="385"/>
      <c r="H1" s="385"/>
      <c r="I1" s="385"/>
      <c r="J1" s="385"/>
      <c r="K1" s="385"/>
      <c r="L1" s="385"/>
      <c r="M1" s="385"/>
      <c r="N1" s="385"/>
      <c r="O1" s="385"/>
      <c r="P1" s="385"/>
      <c r="Q1" s="385"/>
    </row>
    <row r="2" spans="1:20" ht="14.25" customHeight="1" x14ac:dyDescent="0.3">
      <c r="A2" s="385" t="s">
        <v>646</v>
      </c>
      <c r="B2" s="385"/>
      <c r="C2" s="385"/>
      <c r="D2" s="385"/>
      <c r="E2" s="385"/>
      <c r="F2" s="385"/>
      <c r="G2" s="385"/>
      <c r="H2" s="385"/>
      <c r="I2" s="385"/>
      <c r="J2" s="385"/>
      <c r="K2" s="385"/>
      <c r="L2" s="385"/>
      <c r="M2" s="385"/>
      <c r="N2" s="385"/>
      <c r="O2" s="385"/>
      <c r="P2" s="385"/>
      <c r="Q2" s="385"/>
    </row>
    <row r="3" spans="1:20" ht="14.25" customHeight="1" x14ac:dyDescent="0.3">
      <c r="A3" s="1" t="s">
        <v>1</v>
      </c>
      <c r="C3" s="1" t="s">
        <v>603</v>
      </c>
    </row>
    <row r="4" spans="1:20" ht="14.25" customHeight="1" x14ac:dyDescent="0.3">
      <c r="A4" s="1" t="s">
        <v>2</v>
      </c>
      <c r="C4" s="1" t="s">
        <v>668</v>
      </c>
      <c r="D4" s="4"/>
    </row>
    <row r="5" spans="1:20" ht="6" customHeight="1" x14ac:dyDescent="0.3"/>
    <row r="6" spans="1:20" x14ac:dyDescent="0.3">
      <c r="A6" s="386" t="s">
        <v>3</v>
      </c>
      <c r="B6" s="388" t="s">
        <v>4</v>
      </c>
      <c r="C6" s="388"/>
      <c r="D6" s="391" t="s">
        <v>259</v>
      </c>
      <c r="E6" s="391" t="s">
        <v>7</v>
      </c>
      <c r="F6" s="393" t="s">
        <v>170</v>
      </c>
      <c r="G6" s="393"/>
      <c r="H6" s="393"/>
      <c r="I6" s="393" t="s">
        <v>12</v>
      </c>
      <c r="J6" s="393"/>
      <c r="K6" s="393"/>
      <c r="L6" s="393"/>
      <c r="M6" s="393"/>
      <c r="N6" s="391" t="s">
        <v>17</v>
      </c>
      <c r="O6" s="391"/>
      <c r="P6" s="391" t="s">
        <v>258</v>
      </c>
      <c r="Q6" s="386" t="s">
        <v>192</v>
      </c>
    </row>
    <row r="7" spans="1:20" ht="24.75" customHeight="1" x14ac:dyDescent="0.3">
      <c r="A7" s="387"/>
      <c r="B7" s="394" t="s">
        <v>5</v>
      </c>
      <c r="C7" s="394"/>
      <c r="D7" s="392"/>
      <c r="E7" s="392"/>
      <c r="F7" s="147" t="s">
        <v>9</v>
      </c>
      <c r="G7" s="147" t="s">
        <v>10</v>
      </c>
      <c r="H7" s="147" t="s">
        <v>11</v>
      </c>
      <c r="I7" s="147" t="s">
        <v>16</v>
      </c>
      <c r="J7" s="147" t="s">
        <v>13</v>
      </c>
      <c r="K7" s="147" t="s">
        <v>14</v>
      </c>
      <c r="L7" s="148" t="s">
        <v>257</v>
      </c>
      <c r="M7" s="147" t="s">
        <v>11</v>
      </c>
      <c r="N7" s="392"/>
      <c r="O7" s="392"/>
      <c r="P7" s="392"/>
      <c r="Q7" s="387"/>
    </row>
    <row r="8" spans="1:20" ht="6" customHeight="1" x14ac:dyDescent="0.3">
      <c r="A8" s="5"/>
      <c r="B8" s="8"/>
      <c r="C8" s="10"/>
      <c r="D8" s="5"/>
      <c r="E8" s="5"/>
      <c r="F8" s="5"/>
      <c r="G8" s="5"/>
      <c r="H8" s="5"/>
      <c r="I8" s="5"/>
      <c r="J8" s="5"/>
      <c r="K8" s="5"/>
      <c r="L8" s="5"/>
      <c r="M8" s="5"/>
      <c r="N8" s="8"/>
      <c r="O8" s="10"/>
      <c r="P8" s="10"/>
      <c r="Q8" s="5"/>
    </row>
    <row r="9" spans="1:20" ht="14.25" customHeight="1" x14ac:dyDescent="0.3">
      <c r="A9" s="13">
        <v>1</v>
      </c>
      <c r="B9" s="14" t="s">
        <v>20</v>
      </c>
      <c r="C9" s="15"/>
      <c r="D9" s="16"/>
      <c r="E9" s="47"/>
      <c r="F9" s="16"/>
      <c r="G9" s="16"/>
      <c r="H9" s="16"/>
      <c r="I9" s="16"/>
      <c r="J9" s="16"/>
      <c r="K9" s="16"/>
      <c r="L9" s="16"/>
      <c r="M9" s="16"/>
      <c r="N9" s="35"/>
      <c r="O9" s="36"/>
      <c r="P9" s="226"/>
      <c r="Q9" s="16"/>
    </row>
    <row r="10" spans="1:20" ht="23.25" customHeight="1" x14ac:dyDescent="0.3">
      <c r="A10" s="13"/>
      <c r="B10" s="17" t="s">
        <v>57</v>
      </c>
      <c r="C10" s="15" t="s">
        <v>21</v>
      </c>
      <c r="D10" s="18">
        <v>430.06</v>
      </c>
      <c r="E10" s="49" t="s">
        <v>649</v>
      </c>
      <c r="F10" s="26">
        <f>3%*D10</f>
        <v>12.9018</v>
      </c>
      <c r="G10" s="26">
        <f>0.2%*D10</f>
        <v>0.86012</v>
      </c>
      <c r="H10" s="26">
        <f>SUM(F10:G10)</f>
        <v>13.76192</v>
      </c>
      <c r="I10" s="19">
        <v>0</v>
      </c>
      <c r="J10" s="19"/>
      <c r="K10" s="19"/>
      <c r="L10" s="19">
        <v>3</v>
      </c>
      <c r="M10" s="20">
        <f>SUM(I10:L10)</f>
        <v>3</v>
      </c>
      <c r="N10" s="37"/>
      <c r="O10" s="36"/>
      <c r="P10" s="227">
        <f t="shared" ref="P10:P23" si="0">G10*0.261*12%*50000000</f>
        <v>1346947.92</v>
      </c>
      <c r="Q10" s="16"/>
      <c r="S10" s="1" t="s">
        <v>333</v>
      </c>
      <c r="T10" s="1" t="s">
        <v>341</v>
      </c>
    </row>
    <row r="11" spans="1:20" ht="15.75" customHeight="1" x14ac:dyDescent="0.3">
      <c r="A11" s="13"/>
      <c r="B11" s="14"/>
      <c r="C11" s="15"/>
      <c r="D11" s="18"/>
      <c r="E11" s="47" t="s">
        <v>37</v>
      </c>
      <c r="F11" s="26">
        <f>4%*D10</f>
        <v>17.202400000000001</v>
      </c>
      <c r="G11" s="26">
        <f>0.4%*D10</f>
        <v>1.72024</v>
      </c>
      <c r="H11" s="26">
        <f>SUM(F11:G11)</f>
        <v>18.922640000000001</v>
      </c>
      <c r="I11" s="19">
        <v>0</v>
      </c>
      <c r="J11" s="19"/>
      <c r="K11" s="19"/>
      <c r="L11" s="19">
        <v>5</v>
      </c>
      <c r="M11" s="20">
        <f t="shared" ref="M11:M23" si="1">SUM(I11:L11)</f>
        <v>5</v>
      </c>
      <c r="N11" s="37" t="s">
        <v>51</v>
      </c>
      <c r="O11" s="38" t="s">
        <v>50</v>
      </c>
      <c r="P11" s="227">
        <f t="shared" si="0"/>
        <v>2693895.84</v>
      </c>
      <c r="Q11" s="16"/>
    </row>
    <row r="12" spans="1:20" ht="18.75" customHeight="1" x14ac:dyDescent="0.3">
      <c r="A12" s="13"/>
      <c r="B12" s="14"/>
      <c r="C12" s="15"/>
      <c r="D12" s="18"/>
      <c r="E12" s="47" t="s">
        <v>38</v>
      </c>
      <c r="F12" s="26">
        <f>3%*D10</f>
        <v>12.9018</v>
      </c>
      <c r="G12" s="26">
        <f>2%*D10</f>
        <v>8.6012000000000004</v>
      </c>
      <c r="H12" s="26">
        <f>SUM(F12:G12)</f>
        <v>21.503</v>
      </c>
      <c r="I12" s="19">
        <v>0</v>
      </c>
      <c r="J12" s="19"/>
      <c r="K12" s="19"/>
      <c r="L12" s="19">
        <v>6</v>
      </c>
      <c r="M12" s="20">
        <f t="shared" si="1"/>
        <v>6</v>
      </c>
      <c r="N12" s="37" t="s">
        <v>51</v>
      </c>
      <c r="O12" s="36" t="s">
        <v>632</v>
      </c>
      <c r="P12" s="227">
        <f t="shared" si="0"/>
        <v>13469479.200000001</v>
      </c>
      <c r="Q12" s="16"/>
      <c r="S12" s="1" t="s">
        <v>343</v>
      </c>
    </row>
    <row r="13" spans="1:20" ht="23.25" customHeight="1" x14ac:dyDescent="0.3">
      <c r="A13" s="13"/>
      <c r="B13" s="14"/>
      <c r="C13" s="15"/>
      <c r="D13" s="18"/>
      <c r="E13" s="48" t="s">
        <v>39</v>
      </c>
      <c r="F13" s="96">
        <f>12%*D10</f>
        <v>51.607199999999999</v>
      </c>
      <c r="G13" s="96">
        <f>5%*D10</f>
        <v>21.503</v>
      </c>
      <c r="H13" s="96">
        <f>SUM(F13:G13)</f>
        <v>73.110199999999992</v>
      </c>
      <c r="I13" s="97">
        <v>0</v>
      </c>
      <c r="J13" s="97">
        <v>0</v>
      </c>
      <c r="K13" s="97">
        <v>0</v>
      </c>
      <c r="L13" s="97">
        <v>4</v>
      </c>
      <c r="M13" s="121">
        <f t="shared" si="1"/>
        <v>4</v>
      </c>
      <c r="N13" s="39" t="s">
        <v>51</v>
      </c>
      <c r="O13" s="40" t="s">
        <v>48</v>
      </c>
      <c r="P13" s="227">
        <f t="shared" si="0"/>
        <v>33673698</v>
      </c>
      <c r="Q13" s="16"/>
      <c r="S13" s="1" t="s">
        <v>342</v>
      </c>
    </row>
    <row r="14" spans="1:20" ht="18.75" customHeight="1" x14ac:dyDescent="0.3">
      <c r="A14" s="13"/>
      <c r="B14" s="17" t="s">
        <v>58</v>
      </c>
      <c r="C14" s="15" t="s">
        <v>22</v>
      </c>
      <c r="D14" s="18">
        <v>856.82</v>
      </c>
      <c r="E14" s="47" t="s">
        <v>36</v>
      </c>
      <c r="F14" s="26">
        <f>4%*D14</f>
        <v>34.272800000000004</v>
      </c>
      <c r="G14" s="26">
        <f>4%*D14</f>
        <v>34.272800000000004</v>
      </c>
      <c r="H14" s="26">
        <f>SUM(F14:G14)</f>
        <v>68.545600000000007</v>
      </c>
      <c r="I14" s="19">
        <v>0</v>
      </c>
      <c r="J14" s="19"/>
      <c r="K14" s="19"/>
      <c r="L14" s="19">
        <v>5</v>
      </c>
      <c r="M14" s="20">
        <f t="shared" si="1"/>
        <v>5</v>
      </c>
      <c r="N14" s="35" t="s">
        <v>51</v>
      </c>
      <c r="O14" s="41" t="s">
        <v>137</v>
      </c>
      <c r="P14" s="227">
        <f t="shared" si="0"/>
        <v>53671204.800000004</v>
      </c>
      <c r="Q14" s="16"/>
    </row>
    <row r="15" spans="1:20" ht="18.75" customHeight="1" x14ac:dyDescent="0.3">
      <c r="A15" s="13"/>
      <c r="B15" s="14"/>
      <c r="C15" s="15"/>
      <c r="D15" s="26"/>
      <c r="E15" s="47" t="s">
        <v>37</v>
      </c>
      <c r="F15" s="26">
        <f>5%*D14</f>
        <v>42.841000000000008</v>
      </c>
      <c r="G15" s="26">
        <f>1%*D14</f>
        <v>8.5682000000000009</v>
      </c>
      <c r="H15" s="26">
        <f t="shared" ref="H15:H17" si="2">SUM(F15:G15)</f>
        <v>51.409200000000013</v>
      </c>
      <c r="I15" s="19">
        <v>0</v>
      </c>
      <c r="J15" s="19"/>
      <c r="K15" s="19"/>
      <c r="L15" s="19">
        <v>5</v>
      </c>
      <c r="M15" s="20">
        <f t="shared" si="1"/>
        <v>5</v>
      </c>
      <c r="N15" s="35"/>
      <c r="O15" s="36"/>
      <c r="P15" s="227">
        <f t="shared" si="0"/>
        <v>13417801.200000001</v>
      </c>
      <c r="Q15" s="16"/>
      <c r="S15" s="1" t="s">
        <v>344</v>
      </c>
    </row>
    <row r="16" spans="1:20" ht="18.75" customHeight="1" x14ac:dyDescent="0.3">
      <c r="A16" s="13"/>
      <c r="B16" s="14"/>
      <c r="C16" s="15"/>
      <c r="D16" s="26"/>
      <c r="E16" s="47" t="s">
        <v>38</v>
      </c>
      <c r="F16" s="26">
        <f>4%*D14</f>
        <v>34.272800000000004</v>
      </c>
      <c r="G16" s="26">
        <f>1%*D14</f>
        <v>8.5682000000000009</v>
      </c>
      <c r="H16" s="26">
        <f t="shared" si="2"/>
        <v>42.841000000000008</v>
      </c>
      <c r="I16" s="19">
        <v>0</v>
      </c>
      <c r="J16" s="19"/>
      <c r="K16" s="19"/>
      <c r="L16" s="19">
        <v>6</v>
      </c>
      <c r="M16" s="20">
        <f t="shared" si="1"/>
        <v>6</v>
      </c>
      <c r="N16" s="35"/>
      <c r="O16" s="36"/>
      <c r="P16" s="227">
        <f t="shared" si="0"/>
        <v>13417801.200000001</v>
      </c>
      <c r="Q16" s="16"/>
      <c r="S16" s="1" t="s">
        <v>345</v>
      </c>
    </row>
    <row r="17" spans="1:20" ht="17.25" customHeight="1" x14ac:dyDescent="0.3">
      <c r="A17" s="54"/>
      <c r="B17" s="55"/>
      <c r="C17" s="56"/>
      <c r="D17" s="57"/>
      <c r="E17" s="58" t="s">
        <v>39</v>
      </c>
      <c r="F17" s="119">
        <f>4%*D14</f>
        <v>34.272800000000004</v>
      </c>
      <c r="G17" s="119">
        <f>1%*D14</f>
        <v>8.5682000000000009</v>
      </c>
      <c r="H17" s="119">
        <f t="shared" si="2"/>
        <v>42.841000000000008</v>
      </c>
      <c r="I17" s="59">
        <v>0</v>
      </c>
      <c r="J17" s="59">
        <v>0</v>
      </c>
      <c r="K17" s="59">
        <v>0</v>
      </c>
      <c r="L17" s="59">
        <v>3</v>
      </c>
      <c r="M17" s="60">
        <f t="shared" si="1"/>
        <v>3</v>
      </c>
      <c r="N17" s="42"/>
      <c r="O17" s="38"/>
      <c r="P17" s="227">
        <f t="shared" si="0"/>
        <v>13417801.200000001</v>
      </c>
      <c r="Q17" s="29"/>
    </row>
    <row r="18" spans="1:20" ht="18.75" customHeight="1" x14ac:dyDescent="0.3">
      <c r="A18" s="54"/>
      <c r="B18" s="55" t="s">
        <v>59</v>
      </c>
      <c r="C18" s="56" t="s">
        <v>27</v>
      </c>
      <c r="D18" s="18">
        <v>113.45</v>
      </c>
      <c r="E18" s="47" t="s">
        <v>36</v>
      </c>
      <c r="F18" s="26">
        <f>20%*D18</f>
        <v>22.69</v>
      </c>
      <c r="G18" s="26">
        <f>1%*F18</f>
        <v>0.22690000000000002</v>
      </c>
      <c r="H18" s="26">
        <f>SUM(F18:G18)</f>
        <v>22.916900000000002</v>
      </c>
      <c r="I18" s="19">
        <v>0</v>
      </c>
      <c r="J18" s="19"/>
      <c r="K18" s="19"/>
      <c r="L18" s="19"/>
      <c r="M18" s="20">
        <f t="shared" si="1"/>
        <v>0</v>
      </c>
      <c r="N18" s="42"/>
      <c r="O18" s="38"/>
      <c r="P18" s="227">
        <f t="shared" si="0"/>
        <v>355325.4</v>
      </c>
      <c r="Q18" s="29"/>
    </row>
    <row r="19" spans="1:20" ht="16.5" customHeight="1" x14ac:dyDescent="0.3">
      <c r="A19" s="54"/>
      <c r="B19" s="55"/>
      <c r="C19" s="56"/>
      <c r="D19" s="26"/>
      <c r="E19" s="47" t="s">
        <v>37</v>
      </c>
      <c r="F19" s="26">
        <f>2%*D18</f>
        <v>2.2690000000000001</v>
      </c>
      <c r="G19" s="26">
        <f>2%*D18</f>
        <v>2.2690000000000001</v>
      </c>
      <c r="H19" s="26">
        <f t="shared" ref="H19:H20" si="3">SUM(F19:G19)</f>
        <v>4.5380000000000003</v>
      </c>
      <c r="I19" s="19">
        <v>0</v>
      </c>
      <c r="J19" s="19"/>
      <c r="K19" s="19"/>
      <c r="L19" s="19">
        <v>7</v>
      </c>
      <c r="M19" s="20">
        <f t="shared" si="1"/>
        <v>7</v>
      </c>
      <c r="N19" s="42"/>
      <c r="O19" s="38"/>
      <c r="P19" s="227">
        <f t="shared" si="0"/>
        <v>3553254</v>
      </c>
      <c r="Q19" s="29"/>
    </row>
    <row r="20" spans="1:20" ht="17.25" customHeight="1" x14ac:dyDescent="0.3">
      <c r="A20" s="54"/>
      <c r="B20" s="55"/>
      <c r="C20" s="56"/>
      <c r="D20" s="26"/>
      <c r="E20" s="47" t="s">
        <v>38</v>
      </c>
      <c r="F20" s="26">
        <f>3%*D18</f>
        <v>3.4034999999999997</v>
      </c>
      <c r="G20" s="26">
        <f>2%*D18</f>
        <v>2.2690000000000001</v>
      </c>
      <c r="H20" s="26">
        <f t="shared" si="3"/>
        <v>5.6724999999999994</v>
      </c>
      <c r="I20" s="19">
        <v>0</v>
      </c>
      <c r="J20" s="19"/>
      <c r="K20" s="19"/>
      <c r="L20" s="19">
        <v>3</v>
      </c>
      <c r="M20" s="20">
        <f t="shared" si="1"/>
        <v>3</v>
      </c>
      <c r="N20" s="42"/>
      <c r="O20" s="38"/>
      <c r="P20" s="227">
        <f t="shared" si="0"/>
        <v>3553254</v>
      </c>
      <c r="Q20" s="29"/>
    </row>
    <row r="21" spans="1:20" ht="16.5" customHeight="1" x14ac:dyDescent="0.3">
      <c r="A21" s="13"/>
      <c r="B21" s="17" t="s">
        <v>60</v>
      </c>
      <c r="C21" s="15" t="s">
        <v>42</v>
      </c>
      <c r="D21" s="18">
        <v>527.28</v>
      </c>
      <c r="E21" s="47" t="s">
        <v>36</v>
      </c>
      <c r="F21" s="26">
        <f>30%*D18</f>
        <v>34.034999999999997</v>
      </c>
      <c r="G21" s="26">
        <f>2%*D21</f>
        <v>10.5456</v>
      </c>
      <c r="H21" s="26">
        <f>SUM(F21:G21)</f>
        <v>44.580599999999997</v>
      </c>
      <c r="I21" s="19">
        <v>0</v>
      </c>
      <c r="J21" s="19"/>
      <c r="K21" s="19"/>
      <c r="L21" s="19">
        <v>6</v>
      </c>
      <c r="M21" s="20">
        <f t="shared" si="1"/>
        <v>6</v>
      </c>
      <c r="N21" s="35"/>
      <c r="O21" s="36"/>
      <c r="P21" s="227">
        <f t="shared" si="0"/>
        <v>16514409.600000001</v>
      </c>
      <c r="Q21" s="29"/>
    </row>
    <row r="22" spans="1:20" ht="18.75" customHeight="1" x14ac:dyDescent="0.3">
      <c r="A22" s="13"/>
      <c r="B22" s="14"/>
      <c r="C22" s="15"/>
      <c r="D22" s="26"/>
      <c r="E22" s="47" t="s">
        <v>37</v>
      </c>
      <c r="F22" s="26">
        <f>30%*D21</f>
        <v>158.184</v>
      </c>
      <c r="G22" s="26">
        <f>2%*D21</f>
        <v>10.5456</v>
      </c>
      <c r="H22" s="26">
        <f t="shared" ref="H22:H23" si="4">SUM(F22:G22)</f>
        <v>168.7296</v>
      </c>
      <c r="I22" s="19">
        <v>0</v>
      </c>
      <c r="J22" s="19"/>
      <c r="K22" s="19"/>
      <c r="L22" s="19">
        <v>6</v>
      </c>
      <c r="M22" s="20">
        <f t="shared" si="1"/>
        <v>6</v>
      </c>
      <c r="N22" s="35"/>
      <c r="O22" s="36"/>
      <c r="P22" s="227">
        <f t="shared" si="0"/>
        <v>16514409.600000001</v>
      </c>
      <c r="Q22" s="29"/>
    </row>
    <row r="23" spans="1:20" ht="18" customHeight="1" x14ac:dyDescent="0.3">
      <c r="A23" s="13"/>
      <c r="B23" s="14"/>
      <c r="C23" s="15"/>
      <c r="D23" s="26"/>
      <c r="E23" s="47" t="s">
        <v>38</v>
      </c>
      <c r="F23" s="26">
        <f>4%*D21</f>
        <v>21.091200000000001</v>
      </c>
      <c r="G23" s="26">
        <f>6%*D21</f>
        <v>31.636799999999997</v>
      </c>
      <c r="H23" s="26">
        <f t="shared" si="4"/>
        <v>52.727999999999994</v>
      </c>
      <c r="I23" s="19">
        <v>0</v>
      </c>
      <c r="J23" s="19"/>
      <c r="K23" s="19"/>
      <c r="L23" s="19">
        <v>4</v>
      </c>
      <c r="M23" s="20">
        <f t="shared" si="1"/>
        <v>4</v>
      </c>
      <c r="N23" s="80"/>
      <c r="O23" s="81"/>
      <c r="P23" s="227">
        <f t="shared" si="0"/>
        <v>49543228.799999997</v>
      </c>
      <c r="Q23" s="88"/>
    </row>
    <row r="24" spans="1:20" ht="18.75" customHeight="1" x14ac:dyDescent="0.3">
      <c r="A24" s="89"/>
      <c r="B24" s="402" t="s">
        <v>325</v>
      </c>
      <c r="C24" s="403"/>
      <c r="D24" s="73">
        <f>SUM(D9:D17)</f>
        <v>1286.8800000000001</v>
      </c>
      <c r="E24" s="74"/>
      <c r="F24" s="118">
        <f>SUM(F9:F17)</f>
        <v>240.27260000000007</v>
      </c>
      <c r="G24" s="118">
        <f>SUM(G9:G17)</f>
        <v>92.661960000000022</v>
      </c>
      <c r="H24" s="118">
        <f>SUM(H9:H17)</f>
        <v>332.93456000000003</v>
      </c>
      <c r="I24" s="75">
        <f>SUM(I9:I17)</f>
        <v>0</v>
      </c>
      <c r="J24" s="75">
        <f>SUM(J9:J17)</f>
        <v>0</v>
      </c>
      <c r="K24" s="75">
        <f>SUM(K8:K23)</f>
        <v>0</v>
      </c>
      <c r="L24" s="160">
        <f>SUM(L10:L23)</f>
        <v>63</v>
      </c>
      <c r="M24" s="160">
        <f>SUM(M10:M23)</f>
        <v>63</v>
      </c>
      <c r="N24" s="76"/>
      <c r="O24" s="77"/>
      <c r="P24" s="229">
        <f>SUM(P10:P23)</f>
        <v>235142510.75999999</v>
      </c>
      <c r="Q24" s="75"/>
    </row>
    <row r="25" spans="1:20" ht="17.25" customHeight="1" x14ac:dyDescent="0.3">
      <c r="A25" s="63">
        <v>2</v>
      </c>
      <c r="B25" s="64" t="s">
        <v>23</v>
      </c>
      <c r="C25" s="65"/>
      <c r="D25" s="66"/>
      <c r="E25" s="67"/>
      <c r="F25" s="68"/>
      <c r="G25" s="68"/>
      <c r="H25" s="68"/>
      <c r="I25" s="68"/>
      <c r="J25" s="68"/>
      <c r="K25" s="68"/>
      <c r="L25" s="68"/>
      <c r="M25" s="68"/>
      <c r="N25" s="69"/>
      <c r="O25" s="70"/>
      <c r="P25" s="230"/>
      <c r="Q25" s="68"/>
      <c r="S25" s="1" t="s">
        <v>333</v>
      </c>
    </row>
    <row r="26" spans="1:20" ht="16.5" customHeight="1" x14ac:dyDescent="0.3">
      <c r="A26" s="13"/>
      <c r="B26" s="14" t="s">
        <v>57</v>
      </c>
      <c r="C26" s="15" t="s">
        <v>22</v>
      </c>
      <c r="D26" s="26">
        <v>203.28</v>
      </c>
      <c r="E26" s="47" t="s">
        <v>40</v>
      </c>
      <c r="F26" s="19">
        <f>5%*D26</f>
        <v>10.164000000000001</v>
      </c>
      <c r="G26" s="224">
        <f>1%*D26</f>
        <v>2.0327999999999999</v>
      </c>
      <c r="H26" s="19">
        <f t="shared" ref="H26" si="5">SUM(F26:G26)</f>
        <v>12.196800000000001</v>
      </c>
      <c r="I26" s="19">
        <v>0</v>
      </c>
      <c r="J26" s="19">
        <v>0</v>
      </c>
      <c r="K26" s="19">
        <v>5</v>
      </c>
      <c r="L26" s="19">
        <v>3</v>
      </c>
      <c r="M26" s="20">
        <f t="shared" ref="M26:M33" si="6">SUM(I26:L26)</f>
        <v>8</v>
      </c>
      <c r="N26" s="37" t="s">
        <v>51</v>
      </c>
      <c r="O26" s="404" t="s">
        <v>674</v>
      </c>
      <c r="P26" s="231">
        <f t="shared" ref="P26:P33" si="7">G26*0.52*20%*19000000</f>
        <v>4016812.8000000003</v>
      </c>
      <c r="Q26" s="16"/>
      <c r="S26" s="1" t="s">
        <v>659</v>
      </c>
      <c r="T26" s="1" t="s">
        <v>661</v>
      </c>
    </row>
    <row r="27" spans="1:20" ht="16.5" customHeight="1" x14ac:dyDescent="0.3">
      <c r="A27" s="54"/>
      <c r="B27" s="55"/>
      <c r="C27" s="56"/>
      <c r="D27" s="57"/>
      <c r="E27" s="47" t="s">
        <v>629</v>
      </c>
      <c r="F27" s="135">
        <f>2%*D26</f>
        <v>4.0655999999999999</v>
      </c>
      <c r="G27" s="224">
        <f>0%*D26</f>
        <v>0</v>
      </c>
      <c r="H27" s="135">
        <f t="shared" ref="H27:H30" si="8">SUM(F27:G27)</f>
        <v>4.0655999999999999</v>
      </c>
      <c r="I27" s="19"/>
      <c r="J27" s="19"/>
      <c r="K27" s="19"/>
      <c r="L27" s="19">
        <v>3</v>
      </c>
      <c r="M27" s="20">
        <f t="shared" si="6"/>
        <v>3</v>
      </c>
      <c r="N27" s="37"/>
      <c r="O27" s="404"/>
      <c r="P27" s="231">
        <f t="shared" si="7"/>
        <v>0</v>
      </c>
      <c r="Q27" s="16"/>
    </row>
    <row r="28" spans="1:20" ht="16.5" customHeight="1" x14ac:dyDescent="0.3">
      <c r="A28" s="54"/>
      <c r="B28" s="55"/>
      <c r="C28" s="56"/>
      <c r="D28" s="57"/>
      <c r="E28" s="47" t="s">
        <v>669</v>
      </c>
      <c r="F28" s="19">
        <f>1%*D26</f>
        <v>2.0327999999999999</v>
      </c>
      <c r="G28" s="224">
        <f>4%*D26</f>
        <v>8.1311999999999998</v>
      </c>
      <c r="H28" s="135">
        <f>F28+G28</f>
        <v>10.164</v>
      </c>
      <c r="I28" s="19"/>
      <c r="J28" s="19"/>
      <c r="K28" s="19"/>
      <c r="L28" s="19"/>
      <c r="M28" s="20"/>
      <c r="N28" s="37"/>
      <c r="O28" s="404"/>
      <c r="P28" s="231">
        <f t="shared" si="7"/>
        <v>16067251.200000001</v>
      </c>
      <c r="Q28" s="16"/>
    </row>
    <row r="29" spans="1:20" ht="14.25" customHeight="1" x14ac:dyDescent="0.3">
      <c r="A29" s="54"/>
      <c r="B29" s="55" t="s">
        <v>58</v>
      </c>
      <c r="C29" s="56" t="s">
        <v>42</v>
      </c>
      <c r="D29" s="57">
        <v>57</v>
      </c>
      <c r="E29" s="47" t="s">
        <v>40</v>
      </c>
      <c r="F29" s="19">
        <f>11%*D29</f>
        <v>6.2700000000000005</v>
      </c>
      <c r="G29" s="224">
        <f>1%*D29</f>
        <v>0.57000000000000006</v>
      </c>
      <c r="H29" s="135">
        <f t="shared" si="8"/>
        <v>6.8400000000000007</v>
      </c>
      <c r="I29" s="19">
        <v>0</v>
      </c>
      <c r="J29" s="19"/>
      <c r="K29" s="19">
        <v>0</v>
      </c>
      <c r="L29" s="19">
        <v>2</v>
      </c>
      <c r="M29" s="20">
        <f t="shared" si="6"/>
        <v>2</v>
      </c>
      <c r="N29" s="37"/>
      <c r="O29" s="404"/>
      <c r="P29" s="231">
        <f t="shared" si="7"/>
        <v>1126320.0000000002</v>
      </c>
      <c r="Q29" s="16"/>
      <c r="S29" s="217" t="s">
        <v>660</v>
      </c>
      <c r="T29" s="1" t="s">
        <v>334</v>
      </c>
    </row>
    <row r="30" spans="1:20" ht="14.25" customHeight="1" x14ac:dyDescent="0.3">
      <c r="A30" s="54"/>
      <c r="B30" s="55"/>
      <c r="C30" s="56"/>
      <c r="D30" s="57"/>
      <c r="E30" s="47" t="s">
        <v>669</v>
      </c>
      <c r="F30" s="79">
        <f>1%*D29</f>
        <v>0.57000000000000006</v>
      </c>
      <c r="G30" s="224">
        <f>4%*D29</f>
        <v>2.2800000000000002</v>
      </c>
      <c r="H30" s="135">
        <f t="shared" si="8"/>
        <v>2.8500000000000005</v>
      </c>
      <c r="I30" s="19"/>
      <c r="J30" s="19"/>
      <c r="K30" s="19"/>
      <c r="L30" s="19"/>
      <c r="M30" s="20"/>
      <c r="N30" s="37"/>
      <c r="O30" s="404"/>
      <c r="P30" s="231">
        <f t="shared" si="7"/>
        <v>4505280.0000000009</v>
      </c>
      <c r="Q30" s="16"/>
      <c r="S30" s="217"/>
    </row>
    <row r="31" spans="1:20" ht="14.25" customHeight="1" x14ac:dyDescent="0.3">
      <c r="A31" s="54"/>
      <c r="B31" s="55"/>
      <c r="C31" s="56"/>
      <c r="D31" s="57"/>
      <c r="E31" s="247" t="s">
        <v>670</v>
      </c>
      <c r="F31" s="224">
        <f>1%*D29</f>
        <v>0.57000000000000006</v>
      </c>
      <c r="G31" s="224">
        <f>2%*D29</f>
        <v>1.1400000000000001</v>
      </c>
      <c r="H31" s="224">
        <f>F31+G31</f>
        <v>1.7100000000000002</v>
      </c>
      <c r="I31" s="19">
        <v>0</v>
      </c>
      <c r="J31" s="19"/>
      <c r="K31" s="19"/>
      <c r="L31" s="19">
        <v>1</v>
      </c>
      <c r="M31" s="20">
        <f t="shared" si="6"/>
        <v>1</v>
      </c>
      <c r="N31" s="37"/>
      <c r="O31" s="404"/>
      <c r="P31" s="231">
        <f t="shared" si="7"/>
        <v>2252640.0000000005</v>
      </c>
      <c r="Q31" s="16"/>
    </row>
    <row r="32" spans="1:20" ht="17.25" customHeight="1" x14ac:dyDescent="0.3">
      <c r="A32" s="54"/>
      <c r="B32" s="55" t="s">
        <v>59</v>
      </c>
      <c r="C32" s="56" t="s">
        <v>21</v>
      </c>
      <c r="D32" s="57">
        <v>72.94</v>
      </c>
      <c r="E32" s="47" t="s">
        <v>40</v>
      </c>
      <c r="F32" s="19">
        <f>4%*D32</f>
        <v>2.9175999999999997</v>
      </c>
      <c r="G32" s="224">
        <f>1%*D32</f>
        <v>0.72939999999999994</v>
      </c>
      <c r="H32" s="135">
        <f>F32+G32</f>
        <v>3.6469999999999998</v>
      </c>
      <c r="I32" s="19">
        <v>0</v>
      </c>
      <c r="J32" s="19">
        <v>0</v>
      </c>
      <c r="K32" s="19">
        <v>0</v>
      </c>
      <c r="L32" s="19">
        <v>3</v>
      </c>
      <c r="M32" s="20">
        <f t="shared" ref="M32" si="9">SUM(I32:L32)</f>
        <v>3</v>
      </c>
      <c r="N32" s="95"/>
      <c r="O32" s="399"/>
      <c r="P32" s="231">
        <f t="shared" si="7"/>
        <v>1441294.4</v>
      </c>
      <c r="Q32" s="87"/>
    </row>
    <row r="33" spans="1:20" ht="16.5" customHeight="1" x14ac:dyDescent="0.3">
      <c r="A33" s="54"/>
      <c r="B33" s="55"/>
      <c r="C33" s="56"/>
      <c r="D33" s="57"/>
      <c r="E33" s="47" t="s">
        <v>669</v>
      </c>
      <c r="F33" s="19">
        <f>4%*D32</f>
        <v>2.9175999999999997</v>
      </c>
      <c r="G33" s="224">
        <f>3%*D32</f>
        <v>2.1881999999999997</v>
      </c>
      <c r="H33" s="135">
        <f>F33+G33</f>
        <v>5.1057999999999995</v>
      </c>
      <c r="I33" s="19">
        <v>0</v>
      </c>
      <c r="J33" s="19">
        <v>0</v>
      </c>
      <c r="K33" s="19">
        <v>0</v>
      </c>
      <c r="L33" s="19">
        <v>3</v>
      </c>
      <c r="M33" s="20">
        <f t="shared" si="6"/>
        <v>3</v>
      </c>
      <c r="N33" s="95"/>
      <c r="O33" s="399"/>
      <c r="P33" s="231">
        <f t="shared" si="7"/>
        <v>4323883.2</v>
      </c>
      <c r="Q33" s="87"/>
    </row>
    <row r="34" spans="1:20" ht="24.75" customHeight="1" x14ac:dyDescent="0.3">
      <c r="A34" s="89"/>
      <c r="B34" s="415" t="s">
        <v>326</v>
      </c>
      <c r="C34" s="416"/>
      <c r="D34" s="138">
        <f>SUM(D25:D33)</f>
        <v>333.21999999999997</v>
      </c>
      <c r="E34" s="242"/>
      <c r="F34" s="140">
        <f t="shared" ref="F34:K34" si="10">SUM(F25:F33)</f>
        <v>29.5076</v>
      </c>
      <c r="G34" s="140">
        <f t="shared" si="10"/>
        <v>17.0716</v>
      </c>
      <c r="H34" s="140">
        <f t="shared" si="10"/>
        <v>46.579200000000007</v>
      </c>
      <c r="I34" s="140">
        <f t="shared" si="10"/>
        <v>0</v>
      </c>
      <c r="J34" s="140">
        <f t="shared" si="10"/>
        <v>0</v>
      </c>
      <c r="K34" s="140">
        <f t="shared" si="10"/>
        <v>5</v>
      </c>
      <c r="L34" s="140">
        <f>SUM(L26:L33)</f>
        <v>15</v>
      </c>
      <c r="M34" s="140">
        <f>SUM(M25:M33)</f>
        <v>20</v>
      </c>
      <c r="N34" s="243"/>
      <c r="O34" s="244"/>
      <c r="P34" s="245">
        <f>SUM(P25:P33)</f>
        <v>33733481.600000001</v>
      </c>
      <c r="Q34" s="246"/>
    </row>
    <row r="35" spans="1:20" ht="14.25" customHeight="1" x14ac:dyDescent="0.3">
      <c r="A35" s="63">
        <v>3</v>
      </c>
      <c r="B35" s="64" t="s">
        <v>19</v>
      </c>
      <c r="C35" s="65"/>
      <c r="D35" s="66"/>
      <c r="E35" s="67"/>
      <c r="F35" s="82"/>
      <c r="G35" s="82"/>
      <c r="H35" s="82"/>
      <c r="I35" s="82"/>
      <c r="J35" s="82"/>
      <c r="K35" s="82"/>
      <c r="L35" s="82"/>
      <c r="M35" s="82"/>
      <c r="N35" s="69"/>
      <c r="O35" s="70"/>
      <c r="P35" s="233"/>
      <c r="Q35" s="68"/>
    </row>
    <row r="36" spans="1:20" ht="16.5" customHeight="1" x14ac:dyDescent="0.3">
      <c r="A36" s="13"/>
      <c r="B36" s="14" t="s">
        <v>57</v>
      </c>
      <c r="C36" s="15" t="s">
        <v>24</v>
      </c>
      <c r="D36" s="26">
        <f>1347+481.9+4</f>
        <v>1832.9</v>
      </c>
      <c r="E36" s="50" t="s">
        <v>52</v>
      </c>
      <c r="F36" s="19">
        <f>7%*D36</f>
        <v>128.30300000000003</v>
      </c>
      <c r="G36" s="26">
        <f>50%*D36</f>
        <v>916.45</v>
      </c>
      <c r="H36" s="26">
        <f>SUM(F36:G36)</f>
        <v>1044.7530000000002</v>
      </c>
      <c r="I36" s="19">
        <v>0</v>
      </c>
      <c r="J36" s="19"/>
      <c r="K36" s="19"/>
      <c r="L36" s="19">
        <v>6</v>
      </c>
      <c r="M36" s="19">
        <f>SUM(I36:L36)</f>
        <v>6</v>
      </c>
      <c r="N36" s="35">
        <v>1</v>
      </c>
      <c r="O36" s="414" t="s">
        <v>642</v>
      </c>
      <c r="P36" s="234">
        <f t="shared" ref="P36:P65" si="11">G36*0.815*26%*3500000</f>
        <v>679685142.5</v>
      </c>
      <c r="Q36" s="16"/>
    </row>
    <row r="37" spans="1:20" ht="15" customHeight="1" x14ac:dyDescent="0.3">
      <c r="A37" s="13"/>
      <c r="B37" s="14"/>
      <c r="C37" s="15"/>
      <c r="D37" s="26"/>
      <c r="E37" s="47" t="s">
        <v>624</v>
      </c>
      <c r="F37" s="19">
        <f>9%*D36</f>
        <v>164.96100000000001</v>
      </c>
      <c r="G37" s="26">
        <f>4%*D36</f>
        <v>73.316000000000003</v>
      </c>
      <c r="H37" s="26">
        <f>F37+G37</f>
        <v>238.27700000000002</v>
      </c>
      <c r="I37" s="19">
        <v>0</v>
      </c>
      <c r="J37" s="19"/>
      <c r="K37" s="19">
        <v>0</v>
      </c>
      <c r="L37" s="19">
        <v>8</v>
      </c>
      <c r="M37" s="19">
        <f>SUM(I37:L37)</f>
        <v>8</v>
      </c>
      <c r="N37" s="35"/>
      <c r="O37" s="401"/>
      <c r="P37" s="234">
        <f t="shared" si="11"/>
        <v>54374811.399999999</v>
      </c>
      <c r="Q37" s="16"/>
    </row>
    <row r="38" spans="1:20" ht="16.5" customHeight="1" x14ac:dyDescent="0.3">
      <c r="A38" s="13"/>
      <c r="B38" s="14" t="s">
        <v>58</v>
      </c>
      <c r="C38" s="15" t="s">
        <v>25</v>
      </c>
      <c r="D38" s="26">
        <f>1378+343.2+4</f>
        <v>1725.2</v>
      </c>
      <c r="E38" s="50" t="s">
        <v>52</v>
      </c>
      <c r="F38" s="19">
        <f>9%*D38</f>
        <v>155.268</v>
      </c>
      <c r="G38" s="26">
        <f>10%*D38</f>
        <v>172.52</v>
      </c>
      <c r="H38" s="26">
        <f t="shared" ref="H38:H65" si="12">SUM(F38:G38)</f>
        <v>327.78800000000001</v>
      </c>
      <c r="I38" s="19">
        <v>0</v>
      </c>
      <c r="J38" s="19"/>
      <c r="K38" s="19">
        <v>0</v>
      </c>
      <c r="L38" s="19">
        <v>5</v>
      </c>
      <c r="M38" s="19">
        <f t="shared" ref="M38:M65" si="13">SUM(I38:L38)</f>
        <v>5</v>
      </c>
      <c r="N38" s="35"/>
      <c r="O38" s="401"/>
      <c r="P38" s="234">
        <f t="shared" si="11"/>
        <v>127949458.00000001</v>
      </c>
      <c r="Q38" s="16"/>
    </row>
    <row r="39" spans="1:20" ht="16.5" customHeight="1" x14ac:dyDescent="0.3">
      <c r="A39" s="13"/>
      <c r="B39" s="14" t="s">
        <v>59</v>
      </c>
      <c r="C39" s="15" t="s">
        <v>26</v>
      </c>
      <c r="D39" s="26">
        <f>1032+337+10</f>
        <v>1379</v>
      </c>
      <c r="E39" s="50" t="s">
        <v>52</v>
      </c>
      <c r="F39" s="19">
        <f>4%*D39</f>
        <v>55.160000000000004</v>
      </c>
      <c r="G39" s="26">
        <f>30%*D39</f>
        <v>413.7</v>
      </c>
      <c r="H39" s="26">
        <f t="shared" si="12"/>
        <v>468.86</v>
      </c>
      <c r="I39" s="19"/>
      <c r="J39" s="19"/>
      <c r="K39" s="19"/>
      <c r="L39" s="19">
        <v>3</v>
      </c>
      <c r="M39" s="19">
        <f t="shared" si="13"/>
        <v>3</v>
      </c>
      <c r="N39" s="35"/>
      <c r="O39" s="401"/>
      <c r="P39" s="234">
        <f t="shared" si="11"/>
        <v>306820605</v>
      </c>
      <c r="Q39" s="16"/>
      <c r="T39" s="1">
        <f>1379/16</f>
        <v>86.1875</v>
      </c>
    </row>
    <row r="40" spans="1:20" ht="16.5" customHeight="1" x14ac:dyDescent="0.3">
      <c r="A40" s="13"/>
      <c r="B40" s="14"/>
      <c r="C40" s="15"/>
      <c r="D40" s="26"/>
      <c r="E40" s="47" t="s">
        <v>624</v>
      </c>
      <c r="F40" s="19">
        <f>3%*D39</f>
        <v>41.37</v>
      </c>
      <c r="G40" s="26">
        <f>1%*D39</f>
        <v>13.790000000000001</v>
      </c>
      <c r="H40" s="26">
        <f>F40+G40</f>
        <v>55.16</v>
      </c>
      <c r="I40" s="19">
        <v>0</v>
      </c>
      <c r="J40" s="19"/>
      <c r="K40" s="19"/>
      <c r="L40" s="19">
        <v>4</v>
      </c>
      <c r="M40" s="19">
        <f>SUM(I40:L40)</f>
        <v>4</v>
      </c>
      <c r="N40" s="35"/>
      <c r="O40" s="401"/>
      <c r="P40" s="234">
        <f t="shared" si="11"/>
        <v>10227353.5</v>
      </c>
      <c r="Q40" s="16"/>
    </row>
    <row r="41" spans="1:20" ht="15" customHeight="1" x14ac:dyDescent="0.3">
      <c r="A41" s="13"/>
      <c r="B41" s="14" t="s">
        <v>60</v>
      </c>
      <c r="C41" s="15" t="s">
        <v>55</v>
      </c>
      <c r="D41" s="26">
        <f>312.6+146.93</f>
        <v>459.53000000000003</v>
      </c>
      <c r="E41" s="50" t="s">
        <v>52</v>
      </c>
      <c r="F41" s="19">
        <f>5%*D41</f>
        <v>22.976500000000001</v>
      </c>
      <c r="G41" s="26">
        <f>15%*D41</f>
        <v>68.929500000000004</v>
      </c>
      <c r="H41" s="26">
        <f t="shared" si="12"/>
        <v>91.906000000000006</v>
      </c>
      <c r="I41" s="19">
        <v>0</v>
      </c>
      <c r="J41" s="19">
        <v>0</v>
      </c>
      <c r="K41" s="19">
        <v>0</v>
      </c>
      <c r="L41" s="19">
        <v>5</v>
      </c>
      <c r="M41" s="19">
        <f t="shared" si="13"/>
        <v>5</v>
      </c>
      <c r="N41" s="35"/>
      <c r="O41" s="401"/>
      <c r="P41" s="234">
        <f t="shared" si="11"/>
        <v>51121563.675000004</v>
      </c>
      <c r="Q41" s="16"/>
    </row>
    <row r="42" spans="1:20" ht="16.5" customHeight="1" x14ac:dyDescent="0.3">
      <c r="A42" s="13"/>
      <c r="B42" s="14"/>
      <c r="C42" s="15"/>
      <c r="D42" s="26"/>
      <c r="E42" s="47" t="s">
        <v>235</v>
      </c>
      <c r="F42" s="26">
        <f>7%*D41</f>
        <v>32.167100000000005</v>
      </c>
      <c r="G42" s="26">
        <f>15%*D41</f>
        <v>68.929500000000004</v>
      </c>
      <c r="H42" s="26">
        <f>SUM(F42:G42)</f>
        <v>101.09660000000001</v>
      </c>
      <c r="I42" s="19"/>
      <c r="J42" s="19"/>
      <c r="K42" s="19"/>
      <c r="L42" s="19">
        <v>5</v>
      </c>
      <c r="M42" s="19">
        <f>SUM(I42:L42)</f>
        <v>5</v>
      </c>
      <c r="N42" s="35"/>
      <c r="O42" s="400"/>
      <c r="P42" s="234">
        <f t="shared" si="11"/>
        <v>51121563.675000004</v>
      </c>
      <c r="Q42" s="16"/>
    </row>
    <row r="43" spans="1:20" ht="15" customHeight="1" x14ac:dyDescent="0.3">
      <c r="A43" s="13"/>
      <c r="B43" s="14" t="s">
        <v>61</v>
      </c>
      <c r="C43" s="15" t="s">
        <v>27</v>
      </c>
      <c r="D43" s="26">
        <f>650.7+162.25</f>
        <v>812.95</v>
      </c>
      <c r="E43" s="50" t="s">
        <v>52</v>
      </c>
      <c r="F43" s="19">
        <f>8%*D43</f>
        <v>65.036000000000001</v>
      </c>
      <c r="G43" s="26">
        <f>20%*D43</f>
        <v>162.59000000000003</v>
      </c>
      <c r="H43" s="26">
        <f t="shared" si="12"/>
        <v>227.62600000000003</v>
      </c>
      <c r="I43" s="19">
        <v>0</v>
      </c>
      <c r="J43" s="19">
        <v>0</v>
      </c>
      <c r="K43" s="19">
        <v>0</v>
      </c>
      <c r="L43" s="19">
        <v>6</v>
      </c>
      <c r="M43" s="19">
        <f t="shared" si="13"/>
        <v>6</v>
      </c>
      <c r="N43" s="35"/>
      <c r="O43" s="36"/>
      <c r="P43" s="234">
        <f t="shared" si="11"/>
        <v>120584873.5</v>
      </c>
      <c r="Q43" s="16"/>
    </row>
    <row r="44" spans="1:20" ht="16.5" customHeight="1" x14ac:dyDescent="0.3">
      <c r="A44" s="13"/>
      <c r="B44" s="14" t="s">
        <v>62</v>
      </c>
      <c r="C44" s="15" t="s">
        <v>28</v>
      </c>
      <c r="D44" s="26">
        <f>876+634.6+5</f>
        <v>1515.6</v>
      </c>
      <c r="E44" s="50" t="s">
        <v>52</v>
      </c>
      <c r="F44" s="19">
        <f>7%*D44</f>
        <v>106.092</v>
      </c>
      <c r="G44" s="26">
        <f>10%*D44</f>
        <v>151.56</v>
      </c>
      <c r="H44" s="26">
        <f t="shared" si="12"/>
        <v>257.65199999999999</v>
      </c>
      <c r="I44" s="19">
        <v>0</v>
      </c>
      <c r="J44" s="19">
        <v>0</v>
      </c>
      <c r="K44" s="19"/>
      <c r="L44" s="19">
        <v>6</v>
      </c>
      <c r="M44" s="19">
        <f t="shared" si="13"/>
        <v>6</v>
      </c>
      <c r="N44" s="35">
        <v>2</v>
      </c>
      <c r="O44" s="399" t="s">
        <v>643</v>
      </c>
      <c r="P44" s="234">
        <f t="shared" si="11"/>
        <v>112404474</v>
      </c>
      <c r="Q44" s="16"/>
    </row>
    <row r="45" spans="1:20" ht="16.5" customHeight="1" x14ac:dyDescent="0.3">
      <c r="A45" s="13"/>
      <c r="B45" s="14" t="s">
        <v>63</v>
      </c>
      <c r="C45" s="15" t="s">
        <v>29</v>
      </c>
      <c r="D45" s="26">
        <f>1576+278.5</f>
        <v>1854.5</v>
      </c>
      <c r="E45" s="50" t="s">
        <v>52</v>
      </c>
      <c r="F45" s="19">
        <f>3%*D45</f>
        <v>55.634999999999998</v>
      </c>
      <c r="G45" s="26">
        <f>20%*D45</f>
        <v>370.90000000000003</v>
      </c>
      <c r="H45" s="26">
        <f t="shared" si="12"/>
        <v>426.53500000000003</v>
      </c>
      <c r="I45" s="19">
        <v>0</v>
      </c>
      <c r="J45" s="19">
        <v>0</v>
      </c>
      <c r="K45" s="19"/>
      <c r="L45" s="19">
        <v>7</v>
      </c>
      <c r="M45" s="19">
        <f t="shared" si="13"/>
        <v>7</v>
      </c>
      <c r="N45" s="35"/>
      <c r="O45" s="401"/>
      <c r="P45" s="234">
        <f t="shared" si="11"/>
        <v>275077985</v>
      </c>
      <c r="Q45" s="16"/>
    </row>
    <row r="46" spans="1:20" ht="13.5" customHeight="1" x14ac:dyDescent="0.3">
      <c r="A46" s="13"/>
      <c r="B46" s="14"/>
      <c r="C46" s="15"/>
      <c r="D46" s="26"/>
      <c r="E46" s="47" t="s">
        <v>234</v>
      </c>
      <c r="F46" s="19">
        <f>8%*D45</f>
        <v>148.36000000000001</v>
      </c>
      <c r="G46" s="26">
        <f>12%*D44</f>
        <v>181.87199999999999</v>
      </c>
      <c r="H46" s="26">
        <f>F46+G46</f>
        <v>330.23199999999997</v>
      </c>
      <c r="I46" s="19"/>
      <c r="J46" s="19">
        <v>0</v>
      </c>
      <c r="K46" s="19">
        <v>0</v>
      </c>
      <c r="L46" s="19">
        <v>5</v>
      </c>
      <c r="M46" s="19">
        <f t="shared" ref="M46" si="14">SUM(I46:L46)</f>
        <v>5</v>
      </c>
      <c r="N46" s="35"/>
      <c r="O46" s="401"/>
      <c r="P46" s="234">
        <f t="shared" si="11"/>
        <v>134885368.79999998</v>
      </c>
      <c r="Q46" s="16"/>
    </row>
    <row r="47" spans="1:20" ht="16.5" customHeight="1" x14ac:dyDescent="0.3">
      <c r="A47" s="13"/>
      <c r="B47" s="14" t="s">
        <v>64</v>
      </c>
      <c r="C47" s="15" t="s">
        <v>56</v>
      </c>
      <c r="D47" s="26">
        <f>274.6+53.7+42</f>
        <v>370.3</v>
      </c>
      <c r="E47" s="50" t="s">
        <v>52</v>
      </c>
      <c r="F47" s="19">
        <f>7%*D47</f>
        <v>25.921000000000003</v>
      </c>
      <c r="G47" s="26">
        <f>10%*D47</f>
        <v>37.03</v>
      </c>
      <c r="H47" s="26">
        <f t="shared" si="12"/>
        <v>62.951000000000008</v>
      </c>
      <c r="I47" s="19">
        <v>0</v>
      </c>
      <c r="J47" s="19"/>
      <c r="K47" s="19"/>
      <c r="L47" s="19">
        <v>0</v>
      </c>
      <c r="M47" s="19">
        <f t="shared" si="13"/>
        <v>0</v>
      </c>
      <c r="N47" s="35"/>
      <c r="O47" s="401"/>
      <c r="P47" s="234">
        <f t="shared" si="11"/>
        <v>27463299.5</v>
      </c>
      <c r="Q47" s="16"/>
    </row>
    <row r="48" spans="1:20" ht="18" customHeight="1" x14ac:dyDescent="0.3">
      <c r="A48" s="13"/>
      <c r="B48" s="14" t="s">
        <v>65</v>
      </c>
      <c r="C48" s="15" t="s">
        <v>30</v>
      </c>
      <c r="D48" s="26">
        <f>1500.5+566.7</f>
        <v>2067.1999999999998</v>
      </c>
      <c r="E48" s="50" t="s">
        <v>52</v>
      </c>
      <c r="F48" s="19">
        <f>5%*D48</f>
        <v>103.36</v>
      </c>
      <c r="G48" s="26">
        <f>11%*D48</f>
        <v>227.39199999999997</v>
      </c>
      <c r="H48" s="26">
        <f t="shared" si="12"/>
        <v>330.75199999999995</v>
      </c>
      <c r="I48" s="19">
        <v>0</v>
      </c>
      <c r="J48" s="19">
        <v>0</v>
      </c>
      <c r="K48" s="19">
        <v>0</v>
      </c>
      <c r="L48" s="19">
        <v>5</v>
      </c>
      <c r="M48" s="19">
        <f t="shared" si="13"/>
        <v>5</v>
      </c>
      <c r="N48" s="35"/>
      <c r="O48" s="401"/>
      <c r="P48" s="234">
        <f t="shared" si="11"/>
        <v>168645276.79999995</v>
      </c>
      <c r="Q48" s="16"/>
    </row>
    <row r="49" spans="1:17" ht="18" customHeight="1" x14ac:dyDescent="0.3">
      <c r="A49" s="13"/>
      <c r="B49" s="14"/>
      <c r="C49" s="15"/>
      <c r="D49" s="26"/>
      <c r="E49" s="47" t="s">
        <v>624</v>
      </c>
      <c r="F49" s="19">
        <f>11%*D48</f>
        <v>227.39199999999997</v>
      </c>
      <c r="G49" s="26">
        <f>12%*D48</f>
        <v>248.06399999999996</v>
      </c>
      <c r="H49" s="26">
        <f>F49+G49</f>
        <v>475.4559999999999</v>
      </c>
      <c r="I49" s="19">
        <v>0</v>
      </c>
      <c r="J49" s="19"/>
      <c r="K49" s="19"/>
      <c r="L49" s="19">
        <v>3</v>
      </c>
      <c r="M49" s="19">
        <f>SUM(I49:L49)</f>
        <v>3</v>
      </c>
      <c r="N49" s="35"/>
      <c r="O49" s="401"/>
      <c r="P49" s="234">
        <f t="shared" si="11"/>
        <v>183976665.59999996</v>
      </c>
      <c r="Q49" s="16"/>
    </row>
    <row r="50" spans="1:17" ht="18.75" customHeight="1" x14ac:dyDescent="0.3">
      <c r="A50" s="13"/>
      <c r="B50" s="14" t="s">
        <v>66</v>
      </c>
      <c r="C50" s="15" t="s">
        <v>31</v>
      </c>
      <c r="D50" s="26">
        <f>1214.5+386.5</f>
        <v>1601</v>
      </c>
      <c r="E50" s="50" t="s">
        <v>52</v>
      </c>
      <c r="F50" s="19">
        <f>6%*D50</f>
        <v>96.06</v>
      </c>
      <c r="G50" s="26">
        <f>8%*D50</f>
        <v>128.08000000000001</v>
      </c>
      <c r="H50" s="26">
        <f t="shared" si="12"/>
        <v>224.14000000000001</v>
      </c>
      <c r="I50" s="19">
        <v>0</v>
      </c>
      <c r="J50" s="19">
        <v>0</v>
      </c>
      <c r="K50" s="19">
        <v>0</v>
      </c>
      <c r="L50" s="19">
        <v>0</v>
      </c>
      <c r="M50" s="19">
        <f t="shared" si="13"/>
        <v>0</v>
      </c>
      <c r="N50" s="35"/>
      <c r="O50" s="401"/>
      <c r="P50" s="234">
        <f t="shared" si="11"/>
        <v>94990532</v>
      </c>
      <c r="Q50" s="16"/>
    </row>
    <row r="51" spans="1:17" ht="16.5" customHeight="1" x14ac:dyDescent="0.3">
      <c r="A51" s="13"/>
      <c r="B51" s="14" t="s">
        <v>67</v>
      </c>
      <c r="C51" s="15" t="s">
        <v>32</v>
      </c>
      <c r="D51" s="26">
        <f>998.9+79.5</f>
        <v>1078.4000000000001</v>
      </c>
      <c r="E51" s="50" t="s">
        <v>52</v>
      </c>
      <c r="F51" s="19">
        <f>8%*D51</f>
        <v>86.272000000000006</v>
      </c>
      <c r="G51" s="26">
        <f>11%*D51</f>
        <v>118.62400000000001</v>
      </c>
      <c r="H51" s="26">
        <f t="shared" si="12"/>
        <v>204.89600000000002</v>
      </c>
      <c r="I51" s="19">
        <v>0</v>
      </c>
      <c r="J51" s="19">
        <v>0</v>
      </c>
      <c r="K51" s="19">
        <v>0</v>
      </c>
      <c r="L51" s="19">
        <v>0</v>
      </c>
      <c r="M51" s="19">
        <f t="shared" si="13"/>
        <v>0</v>
      </c>
      <c r="N51" s="35"/>
      <c r="O51" s="401"/>
      <c r="P51" s="234">
        <f t="shared" si="11"/>
        <v>87977489.600000009</v>
      </c>
      <c r="Q51" s="16"/>
    </row>
    <row r="52" spans="1:17" ht="18.75" customHeight="1" x14ac:dyDescent="0.3">
      <c r="A52" s="13"/>
      <c r="B52" s="14" t="s">
        <v>68</v>
      </c>
      <c r="C52" s="15" t="s">
        <v>33</v>
      </c>
      <c r="D52" s="26">
        <f>1314+57.5</f>
        <v>1371.5</v>
      </c>
      <c r="E52" s="50" t="s">
        <v>52</v>
      </c>
      <c r="F52" s="19">
        <f>9%*D52</f>
        <v>123.435</v>
      </c>
      <c r="G52" s="26">
        <f>11%*D52</f>
        <v>150.86500000000001</v>
      </c>
      <c r="H52" s="26">
        <f t="shared" si="12"/>
        <v>274.3</v>
      </c>
      <c r="I52" s="19">
        <v>0</v>
      </c>
      <c r="J52" s="19"/>
      <c r="K52" s="19">
        <v>0</v>
      </c>
      <c r="L52" s="19">
        <v>0</v>
      </c>
      <c r="M52" s="19">
        <f t="shared" si="13"/>
        <v>0</v>
      </c>
      <c r="N52" s="35"/>
      <c r="O52" s="401"/>
      <c r="P52" s="234">
        <f t="shared" si="11"/>
        <v>111889027.25</v>
      </c>
      <c r="Q52" s="16"/>
    </row>
    <row r="53" spans="1:17" ht="16.5" customHeight="1" x14ac:dyDescent="0.3">
      <c r="A53" s="13"/>
      <c r="B53" s="14" t="s">
        <v>69</v>
      </c>
      <c r="C53" s="15" t="s">
        <v>34</v>
      </c>
      <c r="D53" s="26">
        <f>1892.1+376</f>
        <v>2268.1</v>
      </c>
      <c r="E53" s="50" t="s">
        <v>52</v>
      </c>
      <c r="F53" s="19">
        <f>4%*D53</f>
        <v>90.724000000000004</v>
      </c>
      <c r="G53" s="26">
        <f>25%*D53</f>
        <v>567.02499999999998</v>
      </c>
      <c r="H53" s="26">
        <f t="shared" si="12"/>
        <v>657.74900000000002</v>
      </c>
      <c r="I53" s="19">
        <v>0</v>
      </c>
      <c r="J53" s="19"/>
      <c r="K53" s="19"/>
      <c r="L53" s="19">
        <v>5</v>
      </c>
      <c r="M53" s="19">
        <f t="shared" si="13"/>
        <v>5</v>
      </c>
      <c r="N53" s="35"/>
      <c r="O53" s="401"/>
      <c r="P53" s="234">
        <f t="shared" si="11"/>
        <v>420534091.25</v>
      </c>
      <c r="Q53" s="16"/>
    </row>
    <row r="54" spans="1:17" ht="16.5" customHeight="1" x14ac:dyDescent="0.3">
      <c r="A54" s="13"/>
      <c r="B54" s="14" t="s">
        <v>70</v>
      </c>
      <c r="C54" s="15" t="s">
        <v>35</v>
      </c>
      <c r="D54" s="26">
        <f>1558+185.25</f>
        <v>1743.25</v>
      </c>
      <c r="E54" s="50" t="s">
        <v>52</v>
      </c>
      <c r="F54" s="19">
        <f>4%*D54</f>
        <v>69.73</v>
      </c>
      <c r="G54" s="26">
        <f>15%*D54</f>
        <v>261.48750000000001</v>
      </c>
      <c r="H54" s="26">
        <f t="shared" si="12"/>
        <v>331.21750000000003</v>
      </c>
      <c r="I54" s="19">
        <v>0</v>
      </c>
      <c r="J54" s="19">
        <v>0</v>
      </c>
      <c r="K54" s="19">
        <v>0</v>
      </c>
      <c r="L54" s="19">
        <v>0</v>
      </c>
      <c r="M54" s="19">
        <f t="shared" si="13"/>
        <v>0</v>
      </c>
      <c r="N54" s="35"/>
      <c r="O54" s="401"/>
      <c r="P54" s="234">
        <f t="shared" si="11"/>
        <v>193932204.375</v>
      </c>
      <c r="Q54" s="16"/>
    </row>
    <row r="55" spans="1:17" ht="17.25" customHeight="1" x14ac:dyDescent="0.3">
      <c r="A55" s="13"/>
      <c r="B55" s="14" t="s">
        <v>71</v>
      </c>
      <c r="C55" s="15" t="s">
        <v>21</v>
      </c>
      <c r="D55" s="26">
        <f>1972+130</f>
        <v>2102</v>
      </c>
      <c r="E55" s="50" t="s">
        <v>52</v>
      </c>
      <c r="F55" s="19">
        <f>4%*D55</f>
        <v>84.08</v>
      </c>
      <c r="G55" s="26">
        <f>13%*D55</f>
        <v>273.26</v>
      </c>
      <c r="H55" s="26">
        <f t="shared" si="12"/>
        <v>357.34</v>
      </c>
      <c r="I55" s="19">
        <v>0</v>
      </c>
      <c r="J55" s="19">
        <v>0</v>
      </c>
      <c r="K55" s="19">
        <v>0</v>
      </c>
      <c r="L55" s="19">
        <v>0</v>
      </c>
      <c r="M55" s="19">
        <f t="shared" si="13"/>
        <v>0</v>
      </c>
      <c r="N55" s="35"/>
      <c r="O55" s="401"/>
      <c r="P55" s="234">
        <f t="shared" si="11"/>
        <v>202663279</v>
      </c>
      <c r="Q55" s="16"/>
    </row>
    <row r="56" spans="1:17" ht="22.5" customHeight="1" x14ac:dyDescent="0.3">
      <c r="A56" s="13"/>
      <c r="B56" s="14" t="s">
        <v>72</v>
      </c>
      <c r="C56" s="15" t="s">
        <v>42</v>
      </c>
      <c r="D56" s="26">
        <f>773.1+303.8</f>
        <v>1076.9000000000001</v>
      </c>
      <c r="E56" s="50" t="s">
        <v>52</v>
      </c>
      <c r="F56" s="19">
        <f>5%*D56</f>
        <v>53.845000000000006</v>
      </c>
      <c r="G56" s="26">
        <f>16%*D56</f>
        <v>172.30400000000003</v>
      </c>
      <c r="H56" s="26">
        <f t="shared" si="12"/>
        <v>226.14900000000003</v>
      </c>
      <c r="I56" s="19">
        <v>0</v>
      </c>
      <c r="J56" s="19">
        <v>0</v>
      </c>
      <c r="K56" s="19">
        <v>0</v>
      </c>
      <c r="L56" s="19">
        <v>3</v>
      </c>
      <c r="M56" s="19">
        <f t="shared" si="13"/>
        <v>3</v>
      </c>
      <c r="N56" s="35"/>
      <c r="O56" s="400"/>
      <c r="P56" s="234">
        <f t="shared" si="11"/>
        <v>127789261.60000001</v>
      </c>
      <c r="Q56" s="16"/>
    </row>
    <row r="57" spans="1:17" ht="16.5" customHeight="1" x14ac:dyDescent="0.3">
      <c r="A57" s="13"/>
      <c r="B57" s="14" t="s">
        <v>73</v>
      </c>
      <c r="C57" s="15" t="s">
        <v>105</v>
      </c>
      <c r="D57" s="26">
        <f>153.8+8.7</f>
        <v>162.5</v>
      </c>
      <c r="E57" s="50" t="s">
        <v>52</v>
      </c>
      <c r="F57" s="19">
        <f>5%*D57</f>
        <v>8.125</v>
      </c>
      <c r="G57" s="26">
        <f>12%*D57</f>
        <v>19.5</v>
      </c>
      <c r="H57" s="26">
        <f t="shared" si="12"/>
        <v>27.625</v>
      </c>
      <c r="I57" s="19">
        <v>0</v>
      </c>
      <c r="J57" s="19">
        <v>0</v>
      </c>
      <c r="K57" s="19">
        <v>0</v>
      </c>
      <c r="L57" s="19">
        <v>6</v>
      </c>
      <c r="M57" s="19">
        <f t="shared" si="13"/>
        <v>6</v>
      </c>
      <c r="N57" s="35"/>
      <c r="O57" s="36"/>
      <c r="P57" s="234">
        <f t="shared" si="11"/>
        <v>14462174.999999998</v>
      </c>
      <c r="Q57" s="16"/>
    </row>
    <row r="58" spans="1:17" ht="16.5" customHeight="1" x14ac:dyDescent="0.3">
      <c r="A58" s="13"/>
      <c r="B58" s="14" t="s">
        <v>74</v>
      </c>
      <c r="C58" s="15" t="s">
        <v>110</v>
      </c>
      <c r="D58" s="26">
        <f>695+48.2</f>
        <v>743.2</v>
      </c>
      <c r="E58" s="50" t="s">
        <v>52</v>
      </c>
      <c r="F58" s="19">
        <f>5%*D58</f>
        <v>37.160000000000004</v>
      </c>
      <c r="G58" s="26">
        <f>13%*D58</f>
        <v>96.616000000000014</v>
      </c>
      <c r="H58" s="26">
        <f t="shared" si="12"/>
        <v>133.77600000000001</v>
      </c>
      <c r="I58" s="19">
        <v>0</v>
      </c>
      <c r="J58" s="19">
        <v>0</v>
      </c>
      <c r="K58" s="19">
        <v>0</v>
      </c>
      <c r="L58" s="19">
        <v>0</v>
      </c>
      <c r="M58" s="19">
        <f t="shared" si="13"/>
        <v>0</v>
      </c>
      <c r="N58" s="35">
        <v>3</v>
      </c>
      <c r="O58" s="399" t="s">
        <v>644</v>
      </c>
      <c r="P58" s="234">
        <f t="shared" si="11"/>
        <v>71655256.400000006</v>
      </c>
      <c r="Q58" s="16"/>
    </row>
    <row r="59" spans="1:17" ht="16.5" customHeight="1" x14ac:dyDescent="0.3">
      <c r="A59" s="13"/>
      <c r="B59" s="14" t="s">
        <v>75</v>
      </c>
      <c r="C59" s="15" t="s">
        <v>112</v>
      </c>
      <c r="D59" s="26">
        <f>375+14</f>
        <v>389</v>
      </c>
      <c r="E59" s="50" t="s">
        <v>52</v>
      </c>
      <c r="F59" s="19">
        <f>6%*D59</f>
        <v>23.34</v>
      </c>
      <c r="G59" s="26">
        <f>12%*D59</f>
        <v>46.68</v>
      </c>
      <c r="H59" s="26">
        <f t="shared" si="12"/>
        <v>70.02</v>
      </c>
      <c r="I59" s="19">
        <v>0</v>
      </c>
      <c r="J59" s="19">
        <v>0</v>
      </c>
      <c r="K59" s="19">
        <v>0</v>
      </c>
      <c r="L59" s="19">
        <v>0</v>
      </c>
      <c r="M59" s="19">
        <f t="shared" si="13"/>
        <v>0</v>
      </c>
      <c r="N59" s="35"/>
      <c r="O59" s="401"/>
      <c r="P59" s="234">
        <f t="shared" si="11"/>
        <v>34620222</v>
      </c>
      <c r="Q59" s="16"/>
    </row>
    <row r="60" spans="1:17" ht="16.5" customHeight="1" x14ac:dyDescent="0.3">
      <c r="A60" s="13"/>
      <c r="B60" s="14" t="s">
        <v>104</v>
      </c>
      <c r="C60" s="15" t="s">
        <v>114</v>
      </c>
      <c r="D60" s="26">
        <f>73.5</f>
        <v>73.5</v>
      </c>
      <c r="E60" s="50" t="s">
        <v>52</v>
      </c>
      <c r="F60" s="19">
        <f>7%*D60</f>
        <v>5.1450000000000005</v>
      </c>
      <c r="G60" s="26">
        <f>12%*D60</f>
        <v>8.82</v>
      </c>
      <c r="H60" s="26">
        <f t="shared" si="12"/>
        <v>13.965</v>
      </c>
      <c r="I60" s="19">
        <v>0</v>
      </c>
      <c r="J60" s="19">
        <v>0</v>
      </c>
      <c r="K60" s="19">
        <v>0</v>
      </c>
      <c r="L60" s="19">
        <v>5</v>
      </c>
      <c r="M60" s="19">
        <f t="shared" si="13"/>
        <v>5</v>
      </c>
      <c r="N60" s="35"/>
      <c r="O60" s="401"/>
      <c r="P60" s="234">
        <f t="shared" si="11"/>
        <v>6541353</v>
      </c>
      <c r="Q60" s="16"/>
    </row>
    <row r="61" spans="1:17" ht="16.5" customHeight="1" x14ac:dyDescent="0.3">
      <c r="A61" s="13"/>
      <c r="B61" s="14" t="s">
        <v>106</v>
      </c>
      <c r="C61" s="15" t="s">
        <v>22</v>
      </c>
      <c r="D61" s="26">
        <f>1184.3+105</f>
        <v>1289.3</v>
      </c>
      <c r="E61" s="50" t="s">
        <v>52</v>
      </c>
      <c r="F61" s="19">
        <f>6%*D61</f>
        <v>77.35799999999999</v>
      </c>
      <c r="G61" s="26">
        <f>13%*D61</f>
        <v>167.60900000000001</v>
      </c>
      <c r="H61" s="26">
        <f t="shared" si="12"/>
        <v>244.96699999999998</v>
      </c>
      <c r="I61" s="19">
        <v>0</v>
      </c>
      <c r="J61" s="19">
        <v>0</v>
      </c>
      <c r="K61" s="19"/>
      <c r="L61" s="19">
        <v>0</v>
      </c>
      <c r="M61" s="19">
        <f t="shared" si="13"/>
        <v>0</v>
      </c>
      <c r="N61" s="35"/>
      <c r="O61" s="401"/>
      <c r="P61" s="234">
        <f t="shared" si="11"/>
        <v>124307214.85000001</v>
      </c>
      <c r="Q61" s="16"/>
    </row>
    <row r="62" spans="1:17" ht="14.25" customHeight="1" x14ac:dyDescent="0.3">
      <c r="A62" s="13"/>
      <c r="B62" s="14" t="s">
        <v>108</v>
      </c>
      <c r="C62" s="15" t="s">
        <v>180</v>
      </c>
      <c r="D62" s="26">
        <f>134.8+5</f>
        <v>139.80000000000001</v>
      </c>
      <c r="E62" s="47" t="s">
        <v>52</v>
      </c>
      <c r="F62" s="19">
        <f>7%*D62</f>
        <v>9.7860000000000014</v>
      </c>
      <c r="G62" s="26">
        <f>15%*D62</f>
        <v>20.970000000000002</v>
      </c>
      <c r="H62" s="26">
        <f t="shared" si="12"/>
        <v>30.756000000000004</v>
      </c>
      <c r="I62" s="19">
        <v>0</v>
      </c>
      <c r="J62" s="19">
        <v>0</v>
      </c>
      <c r="K62" s="19">
        <v>0</v>
      </c>
      <c r="L62" s="19">
        <v>5</v>
      </c>
      <c r="M62" s="19">
        <f t="shared" si="13"/>
        <v>5</v>
      </c>
      <c r="N62" s="35"/>
      <c r="O62" s="401"/>
      <c r="P62" s="234">
        <f t="shared" si="11"/>
        <v>15552400.5</v>
      </c>
      <c r="Q62" s="16"/>
    </row>
    <row r="63" spans="1:17" ht="16.5" customHeight="1" x14ac:dyDescent="0.3">
      <c r="A63" s="13"/>
      <c r="B63" s="14" t="s">
        <v>109</v>
      </c>
      <c r="C63" s="15" t="s">
        <v>43</v>
      </c>
      <c r="D63" s="26">
        <f>1195+218.6</f>
        <v>1413.6</v>
      </c>
      <c r="E63" s="50" t="s">
        <v>52</v>
      </c>
      <c r="F63" s="19">
        <f>5%*D63</f>
        <v>70.679999999999993</v>
      </c>
      <c r="G63" s="26">
        <f>15%*D63</f>
        <v>212.04</v>
      </c>
      <c r="H63" s="26">
        <f t="shared" si="12"/>
        <v>282.71999999999997</v>
      </c>
      <c r="I63" s="19">
        <v>0</v>
      </c>
      <c r="J63" s="19">
        <v>0</v>
      </c>
      <c r="K63" s="19">
        <v>0</v>
      </c>
      <c r="L63" s="19">
        <v>0</v>
      </c>
      <c r="M63" s="19">
        <f t="shared" si="13"/>
        <v>0</v>
      </c>
      <c r="N63" s="35"/>
      <c r="O63" s="400"/>
      <c r="P63" s="234">
        <f t="shared" si="11"/>
        <v>157259466</v>
      </c>
      <c r="Q63" s="16"/>
    </row>
    <row r="64" spans="1:17" ht="15.75" customHeight="1" x14ac:dyDescent="0.3">
      <c r="A64" s="13"/>
      <c r="B64" s="55" t="s">
        <v>111</v>
      </c>
      <c r="C64" s="56" t="s">
        <v>44</v>
      </c>
      <c r="D64" s="57">
        <f>1400.35+129.1</f>
        <v>1529.4499999999998</v>
      </c>
      <c r="E64" s="78" t="s">
        <v>52</v>
      </c>
      <c r="F64" s="19">
        <f>6%*D64</f>
        <v>91.766999999999982</v>
      </c>
      <c r="G64" s="26">
        <f>15%*D64</f>
        <v>229.41749999999996</v>
      </c>
      <c r="H64" s="26">
        <f t="shared" si="12"/>
        <v>321.18449999999996</v>
      </c>
      <c r="I64" s="19">
        <v>0</v>
      </c>
      <c r="J64" s="19">
        <v>0</v>
      </c>
      <c r="K64" s="19">
        <v>0</v>
      </c>
      <c r="L64" s="19">
        <v>6</v>
      </c>
      <c r="M64" s="19">
        <f t="shared" si="13"/>
        <v>6</v>
      </c>
      <c r="N64" s="35"/>
      <c r="O64" s="36"/>
      <c r="P64" s="234">
        <f t="shared" si="11"/>
        <v>170147488.87499997</v>
      </c>
      <c r="Q64" s="16"/>
    </row>
    <row r="65" spans="1:19" ht="16.5" customHeight="1" x14ac:dyDescent="0.3">
      <c r="A65" s="13"/>
      <c r="B65" s="14" t="s">
        <v>74</v>
      </c>
      <c r="C65" s="15" t="s">
        <v>43</v>
      </c>
      <c r="D65" s="26">
        <v>1189</v>
      </c>
      <c r="E65" s="50" t="s">
        <v>52</v>
      </c>
      <c r="F65" s="19">
        <f>6%*D65</f>
        <v>71.34</v>
      </c>
      <c r="G65" s="26">
        <f>156%*D65</f>
        <v>1854.8400000000001</v>
      </c>
      <c r="H65" s="26">
        <f t="shared" si="12"/>
        <v>1926.18</v>
      </c>
      <c r="I65" s="19">
        <v>0</v>
      </c>
      <c r="J65" s="19"/>
      <c r="K65" s="19"/>
      <c r="L65" s="19">
        <v>4</v>
      </c>
      <c r="M65" s="19">
        <f t="shared" si="13"/>
        <v>4</v>
      </c>
      <c r="N65" s="35"/>
      <c r="O65" s="36"/>
      <c r="P65" s="234">
        <f t="shared" si="11"/>
        <v>1375642086.0000002</v>
      </c>
      <c r="Q65" s="16"/>
    </row>
    <row r="66" spans="1:19" ht="18.75" customHeight="1" x14ac:dyDescent="0.3">
      <c r="A66" s="89"/>
      <c r="B66" s="72" t="s">
        <v>347</v>
      </c>
      <c r="C66" s="72"/>
      <c r="D66" s="84">
        <f>SUM(D36:D65)</f>
        <v>30187.68</v>
      </c>
      <c r="E66" s="74"/>
      <c r="F66" s="83">
        <f>SUM(F43:F65)</f>
        <v>1730.643</v>
      </c>
      <c r="G66" s="83">
        <f t="shared" ref="G66:M66" si="15">SUM(G36:G65)</f>
        <v>7435.1809999999996</v>
      </c>
      <c r="H66" s="83">
        <f t="shared" si="15"/>
        <v>9766.0296000000017</v>
      </c>
      <c r="I66" s="83">
        <f t="shared" si="15"/>
        <v>0</v>
      </c>
      <c r="J66" s="83">
        <f t="shared" si="15"/>
        <v>0</v>
      </c>
      <c r="K66" s="83">
        <f t="shared" si="15"/>
        <v>0</v>
      </c>
      <c r="L66" s="83">
        <f t="shared" si="15"/>
        <v>102</v>
      </c>
      <c r="M66" s="83">
        <f t="shared" si="15"/>
        <v>102</v>
      </c>
      <c r="N66" s="76"/>
      <c r="O66" s="77"/>
      <c r="P66" s="184">
        <f>SUM(P36:P65)</f>
        <v>5514301988.6499996</v>
      </c>
      <c r="Q66" s="75"/>
    </row>
    <row r="67" spans="1:19" ht="13.5" customHeight="1" x14ac:dyDescent="0.3">
      <c r="A67" s="63">
        <v>4</v>
      </c>
      <c r="B67" s="64" t="s">
        <v>46</v>
      </c>
      <c r="C67" s="65"/>
      <c r="D67" s="66"/>
      <c r="E67" s="67"/>
      <c r="F67" s="82"/>
      <c r="G67" s="82"/>
      <c r="H67" s="82"/>
      <c r="I67" s="82"/>
      <c r="J67" s="82"/>
      <c r="K67" s="82"/>
      <c r="L67" s="82"/>
      <c r="M67" s="82"/>
      <c r="N67" s="69"/>
      <c r="O67" s="70"/>
      <c r="P67" s="233"/>
      <c r="Q67" s="68"/>
    </row>
    <row r="68" spans="1:19" ht="18.75" customHeight="1" x14ac:dyDescent="0.3">
      <c r="A68" s="102"/>
      <c r="B68" s="98" t="s">
        <v>57</v>
      </c>
      <c r="C68" s="99" t="s">
        <v>29</v>
      </c>
      <c r="D68" s="96">
        <v>175</v>
      </c>
      <c r="E68" s="101" t="s">
        <v>645</v>
      </c>
      <c r="F68" s="96">
        <f>1%*D68</f>
        <v>1.75</v>
      </c>
      <c r="G68" s="96">
        <f>1%*D68</f>
        <v>1.75</v>
      </c>
      <c r="H68" s="96">
        <f>SUM(F68:G68)</f>
        <v>3.5</v>
      </c>
      <c r="I68" s="97">
        <v>0</v>
      </c>
      <c r="J68" s="97"/>
      <c r="K68" s="97"/>
      <c r="L68" s="97">
        <v>3</v>
      </c>
      <c r="M68" s="97">
        <f t="shared" ref="M68:M77" si="16">SUM(I68:L68)</f>
        <v>3</v>
      </c>
      <c r="N68" s="35" t="s">
        <v>51</v>
      </c>
      <c r="O68" s="36" t="s">
        <v>229</v>
      </c>
      <c r="P68" s="234">
        <f>G68*1.036*20%*8000000</f>
        <v>2900800.0000000005</v>
      </c>
      <c r="Q68" s="16"/>
    </row>
    <row r="69" spans="1:19" ht="16.5" customHeight="1" x14ac:dyDescent="0.3">
      <c r="A69" s="13"/>
      <c r="B69" s="14" t="s">
        <v>58</v>
      </c>
      <c r="C69" s="15" t="s">
        <v>33</v>
      </c>
      <c r="D69" s="26">
        <v>368</v>
      </c>
      <c r="E69" s="47" t="s">
        <v>185</v>
      </c>
      <c r="F69" s="26">
        <f>2%*D69</f>
        <v>7.36</v>
      </c>
      <c r="G69" s="26">
        <f>2%*D69</f>
        <v>7.36</v>
      </c>
      <c r="H69" s="26">
        <f t="shared" ref="H69:H77" si="17">SUM(F69:G69)</f>
        <v>14.72</v>
      </c>
      <c r="I69" s="19">
        <v>0</v>
      </c>
      <c r="J69" s="19"/>
      <c r="K69" s="19">
        <v>0</v>
      </c>
      <c r="L69" s="19">
        <v>6</v>
      </c>
      <c r="M69" s="19">
        <f t="shared" si="16"/>
        <v>6</v>
      </c>
      <c r="N69" s="35" t="s">
        <v>51</v>
      </c>
      <c r="O69" s="36" t="s">
        <v>138</v>
      </c>
      <c r="P69" s="234">
        <f>G69*1.036*20%*8000000</f>
        <v>12199936.000000002</v>
      </c>
      <c r="Q69" s="16"/>
    </row>
    <row r="70" spans="1:19" ht="17.25" customHeight="1" x14ac:dyDescent="0.3">
      <c r="A70" s="13"/>
      <c r="B70" s="98" t="s">
        <v>59</v>
      </c>
      <c r="C70" s="99" t="s">
        <v>42</v>
      </c>
      <c r="D70" s="96">
        <v>774.98</v>
      </c>
      <c r="E70" s="101" t="s">
        <v>645</v>
      </c>
      <c r="F70" s="96">
        <f>2%*D70</f>
        <v>15.499600000000001</v>
      </c>
      <c r="G70" s="97">
        <f>5%*D70</f>
        <v>38.749000000000002</v>
      </c>
      <c r="H70" s="96">
        <f t="shared" si="17"/>
        <v>54.248600000000003</v>
      </c>
      <c r="I70" s="97">
        <v>0</v>
      </c>
      <c r="J70" s="97"/>
      <c r="K70" s="97">
        <v>0</v>
      </c>
      <c r="L70" s="97">
        <v>7</v>
      </c>
      <c r="M70" s="97">
        <f t="shared" si="16"/>
        <v>7</v>
      </c>
      <c r="N70" s="35"/>
      <c r="O70" s="36"/>
      <c r="P70" s="234">
        <f>G70*1.036*20%*8000000</f>
        <v>64230342.400000013</v>
      </c>
      <c r="Q70" s="16"/>
    </row>
    <row r="71" spans="1:19" ht="18.75" customHeight="1" x14ac:dyDescent="0.3">
      <c r="A71" s="13"/>
      <c r="B71" s="98" t="s">
        <v>60</v>
      </c>
      <c r="C71" s="99" t="s">
        <v>21</v>
      </c>
      <c r="D71" s="96">
        <v>949.55</v>
      </c>
      <c r="E71" s="101" t="s">
        <v>645</v>
      </c>
      <c r="F71" s="96">
        <f>2%*D71</f>
        <v>18.991</v>
      </c>
      <c r="G71" s="97">
        <f>3%*D71</f>
        <v>28.486499999999996</v>
      </c>
      <c r="H71" s="96">
        <f t="shared" si="17"/>
        <v>47.477499999999992</v>
      </c>
      <c r="I71" s="97">
        <v>0</v>
      </c>
      <c r="J71" s="97"/>
      <c r="K71" s="97">
        <v>0</v>
      </c>
      <c r="L71" s="97">
        <v>8</v>
      </c>
      <c r="M71" s="97">
        <f t="shared" si="16"/>
        <v>8</v>
      </c>
      <c r="N71" s="35"/>
      <c r="O71" s="36"/>
      <c r="P71" s="234">
        <f t="shared" ref="P71:P74" si="18">G71*1.036*20%*8500000</f>
        <v>50170423.799999997</v>
      </c>
      <c r="Q71" s="16"/>
      <c r="S71" s="1" t="s">
        <v>641</v>
      </c>
    </row>
    <row r="72" spans="1:19" ht="12.75" customHeight="1" x14ac:dyDescent="0.3">
      <c r="A72" s="13"/>
      <c r="B72" s="98"/>
      <c r="C72" s="99"/>
      <c r="D72" s="96"/>
      <c r="E72" s="47" t="s">
        <v>185</v>
      </c>
      <c r="F72" s="96">
        <f>5%*D71</f>
        <v>47.477499999999999</v>
      </c>
      <c r="G72" s="96">
        <f>1%*D71</f>
        <v>9.4954999999999998</v>
      </c>
      <c r="H72" s="96">
        <f>SUM(F72:G72)</f>
        <v>56.972999999999999</v>
      </c>
      <c r="I72" s="19">
        <v>0</v>
      </c>
      <c r="J72" s="19">
        <v>0</v>
      </c>
      <c r="K72" s="19">
        <v>0</v>
      </c>
      <c r="L72" s="19">
        <v>5</v>
      </c>
      <c r="M72" s="19">
        <f t="shared" si="16"/>
        <v>5</v>
      </c>
      <c r="N72" s="35"/>
      <c r="O72" s="36"/>
      <c r="P72" s="234">
        <f t="shared" si="18"/>
        <v>16723474.600000001</v>
      </c>
      <c r="Q72" s="16"/>
    </row>
    <row r="73" spans="1:19" ht="18.75" customHeight="1" x14ac:dyDescent="0.3">
      <c r="A73" s="16"/>
      <c r="B73" s="14" t="s">
        <v>61</v>
      </c>
      <c r="C73" s="15" t="s">
        <v>22</v>
      </c>
      <c r="D73" s="26">
        <v>1223.55</v>
      </c>
      <c r="E73" s="101" t="s">
        <v>645</v>
      </c>
      <c r="F73" s="26">
        <f>3%*D73</f>
        <v>36.706499999999998</v>
      </c>
      <c r="G73" s="19">
        <f>1%*D73</f>
        <v>12.2355</v>
      </c>
      <c r="H73" s="26">
        <f t="shared" si="17"/>
        <v>48.942</v>
      </c>
      <c r="I73" s="19">
        <v>0</v>
      </c>
      <c r="J73" s="19"/>
      <c r="K73" s="19"/>
      <c r="L73" s="19">
        <v>4</v>
      </c>
      <c r="M73" s="19">
        <f t="shared" si="16"/>
        <v>4</v>
      </c>
      <c r="N73" s="35"/>
      <c r="O73" s="36"/>
      <c r="P73" s="234">
        <f t="shared" si="18"/>
        <v>21549162.600000001</v>
      </c>
      <c r="Q73" s="16"/>
    </row>
    <row r="74" spans="1:19" ht="18.75" customHeight="1" x14ac:dyDescent="0.3">
      <c r="A74" s="87"/>
      <c r="B74" s="55"/>
      <c r="C74" s="56"/>
      <c r="D74" s="57"/>
      <c r="E74" s="47" t="s">
        <v>185</v>
      </c>
      <c r="F74" s="26">
        <f>2%*D73</f>
        <v>24.471</v>
      </c>
      <c r="G74" s="19">
        <f>D73*2%</f>
        <v>24.471</v>
      </c>
      <c r="H74" s="26">
        <f>F74+G74</f>
        <v>48.942</v>
      </c>
      <c r="I74" s="19"/>
      <c r="J74" s="19"/>
      <c r="K74" s="19"/>
      <c r="L74" s="19"/>
      <c r="M74" s="19"/>
      <c r="N74" s="35"/>
      <c r="O74" s="36"/>
      <c r="P74" s="234">
        <f t="shared" si="18"/>
        <v>43098325.200000003</v>
      </c>
      <c r="Q74" s="16"/>
    </row>
    <row r="75" spans="1:19" ht="16.5" customHeight="1" x14ac:dyDescent="0.3">
      <c r="A75" s="87"/>
      <c r="B75" s="55" t="s">
        <v>62</v>
      </c>
      <c r="C75" s="56" t="s">
        <v>43</v>
      </c>
      <c r="D75" s="57">
        <v>133</v>
      </c>
      <c r="E75" s="101" t="s">
        <v>645</v>
      </c>
      <c r="F75" s="19">
        <f>4%*D75</f>
        <v>5.32</v>
      </c>
      <c r="G75" s="135">
        <f>2%*D75</f>
        <v>2.66</v>
      </c>
      <c r="H75" s="26">
        <f t="shared" si="17"/>
        <v>7.98</v>
      </c>
      <c r="I75" s="19">
        <v>0</v>
      </c>
      <c r="J75" s="19"/>
      <c r="K75" s="19">
        <v>0</v>
      </c>
      <c r="L75" s="19">
        <v>3</v>
      </c>
      <c r="M75" s="19">
        <f t="shared" si="16"/>
        <v>3</v>
      </c>
      <c r="N75" s="35"/>
      <c r="O75" s="36"/>
      <c r="P75" s="234">
        <f>G75*1.036*20%*8000000</f>
        <v>4409216.0000000009</v>
      </c>
      <c r="Q75" s="16"/>
    </row>
    <row r="76" spans="1:19" ht="17.25" customHeight="1" x14ac:dyDescent="0.3">
      <c r="A76" s="87"/>
      <c r="B76" s="14" t="s">
        <v>63</v>
      </c>
      <c r="C76" s="15" t="s">
        <v>44</v>
      </c>
      <c r="D76" s="26">
        <v>324.64999999999998</v>
      </c>
      <c r="E76" s="101" t="s">
        <v>645</v>
      </c>
      <c r="F76" s="135">
        <f>4%*D76</f>
        <v>12.985999999999999</v>
      </c>
      <c r="G76" s="19">
        <f>1%*D76</f>
        <v>3.2464999999999997</v>
      </c>
      <c r="H76" s="26">
        <f t="shared" si="17"/>
        <v>16.232499999999998</v>
      </c>
      <c r="I76" s="135">
        <v>0</v>
      </c>
      <c r="J76" s="135"/>
      <c r="K76" s="135">
        <v>0</v>
      </c>
      <c r="L76" s="135">
        <v>3</v>
      </c>
      <c r="M76" s="135">
        <f t="shared" ref="M76" si="19">SUM(I76:L76)</f>
        <v>3</v>
      </c>
      <c r="N76" s="80"/>
      <c r="O76" s="81"/>
      <c r="P76" s="234">
        <f>G76*1.036*20%*8000000</f>
        <v>5381398.4000000004</v>
      </c>
      <c r="Q76" s="87"/>
    </row>
    <row r="77" spans="1:19" ht="21" customHeight="1" x14ac:dyDescent="0.3">
      <c r="A77" s="16"/>
      <c r="B77" s="14" t="s">
        <v>63</v>
      </c>
      <c r="C77" s="15" t="s">
        <v>32</v>
      </c>
      <c r="D77" s="26">
        <v>248.5</v>
      </c>
      <c r="E77" s="101" t="s">
        <v>645</v>
      </c>
      <c r="F77" s="135">
        <f>4%*D77</f>
        <v>9.94</v>
      </c>
      <c r="G77" s="19">
        <f>2%*D77</f>
        <v>4.97</v>
      </c>
      <c r="H77" s="26">
        <f t="shared" si="17"/>
        <v>14.91</v>
      </c>
      <c r="I77" s="135">
        <v>0</v>
      </c>
      <c r="J77" s="135"/>
      <c r="K77" s="135">
        <v>0</v>
      </c>
      <c r="L77" s="135">
        <v>4</v>
      </c>
      <c r="M77" s="135">
        <f t="shared" si="16"/>
        <v>4</v>
      </c>
      <c r="N77" s="80"/>
      <c r="O77" s="81"/>
      <c r="P77" s="234">
        <f>G77*1.036*20%*8000000</f>
        <v>8238272</v>
      </c>
      <c r="Q77" s="87"/>
    </row>
    <row r="78" spans="1:19" ht="16.5" customHeight="1" x14ac:dyDescent="0.3">
      <c r="A78" s="75"/>
      <c r="B78" s="72" t="s">
        <v>348</v>
      </c>
      <c r="C78" s="72"/>
      <c r="D78" s="73">
        <f>SUM(D68:D77)</f>
        <v>4197.2299999999996</v>
      </c>
      <c r="E78" s="74"/>
      <c r="F78" s="73">
        <f t="shared" ref="F78:K78" si="20">SUM(F68:F77)</f>
        <v>180.5016</v>
      </c>
      <c r="G78" s="83">
        <f t="shared" si="20"/>
        <v>133.42400000000001</v>
      </c>
      <c r="H78" s="73">
        <f t="shared" si="20"/>
        <v>313.92560000000009</v>
      </c>
      <c r="I78" s="83">
        <f t="shared" si="20"/>
        <v>0</v>
      </c>
      <c r="J78" s="83">
        <f t="shared" si="20"/>
        <v>0</v>
      </c>
      <c r="K78" s="83">
        <f t="shared" si="20"/>
        <v>0</v>
      </c>
      <c r="L78" s="83">
        <f>SUM(L67:L77)</f>
        <v>43</v>
      </c>
      <c r="M78" s="83">
        <f>SUM(M68:M77)</f>
        <v>43</v>
      </c>
      <c r="N78" s="76"/>
      <c r="O78" s="77"/>
      <c r="P78" s="184">
        <f>SUM(P68:P77)</f>
        <v>228901351.00000003</v>
      </c>
      <c r="Q78" s="75"/>
    </row>
    <row r="79" spans="1:19" ht="14.25" customHeight="1" x14ac:dyDescent="0.3">
      <c r="A79" s="63">
        <v>5</v>
      </c>
      <c r="B79" s="64" t="s">
        <v>96</v>
      </c>
      <c r="C79" s="65"/>
      <c r="D79" s="66"/>
      <c r="E79" s="67"/>
      <c r="F79" s="66"/>
      <c r="G79" s="66"/>
      <c r="H79" s="66"/>
      <c r="I79" s="82"/>
      <c r="J79" s="82"/>
      <c r="K79" s="82"/>
      <c r="L79" s="82"/>
      <c r="M79" s="82"/>
      <c r="N79" s="69"/>
      <c r="O79" s="70"/>
      <c r="P79" s="233"/>
      <c r="Q79" s="68"/>
    </row>
    <row r="80" spans="1:19" ht="16.5" customHeight="1" x14ac:dyDescent="0.3">
      <c r="A80" s="16"/>
      <c r="B80" s="14" t="s">
        <v>57</v>
      </c>
      <c r="C80" s="15" t="s">
        <v>22</v>
      </c>
      <c r="D80" s="26">
        <v>13.6</v>
      </c>
      <c r="E80" s="47" t="s">
        <v>187</v>
      </c>
      <c r="F80" s="26">
        <f>45%*D80</f>
        <v>6.12</v>
      </c>
      <c r="G80" s="26">
        <f>5%*D80</f>
        <v>0.68</v>
      </c>
      <c r="H80" s="26">
        <f t="shared" ref="H80:H88" si="21">SUM(F80:G80)</f>
        <v>6.8</v>
      </c>
      <c r="I80" s="19">
        <v>0</v>
      </c>
      <c r="J80" s="19"/>
      <c r="K80" s="19">
        <v>2</v>
      </c>
      <c r="L80" s="19">
        <v>3</v>
      </c>
      <c r="M80" s="19">
        <f>SUM(I80:L80)</f>
        <v>5</v>
      </c>
      <c r="N80" s="35"/>
      <c r="O80" s="36"/>
      <c r="P80" s="161">
        <f t="shared" ref="P80:P88" si="22">G80*0.486*30%*40000000</f>
        <v>3965760</v>
      </c>
      <c r="Q80" s="16"/>
    </row>
    <row r="81" spans="1:20" ht="17.25" customHeight="1" x14ac:dyDescent="0.3">
      <c r="A81" s="16"/>
      <c r="B81" s="14" t="s">
        <v>58</v>
      </c>
      <c r="C81" s="15" t="s">
        <v>21</v>
      </c>
      <c r="D81" s="26">
        <v>24.61</v>
      </c>
      <c r="E81" s="47" t="s">
        <v>187</v>
      </c>
      <c r="F81" s="26">
        <f>10%*D81</f>
        <v>2.4610000000000003</v>
      </c>
      <c r="G81" s="26">
        <f>15%*D81</f>
        <v>3.6914999999999996</v>
      </c>
      <c r="H81" s="26">
        <f t="shared" si="21"/>
        <v>6.1524999999999999</v>
      </c>
      <c r="I81" s="19">
        <v>0</v>
      </c>
      <c r="J81" s="19"/>
      <c r="K81" s="19">
        <v>2</v>
      </c>
      <c r="L81" s="19">
        <v>3</v>
      </c>
      <c r="M81" s="19">
        <f t="shared" ref="M81:M88" si="23">SUM(I81:L81)</f>
        <v>5</v>
      </c>
      <c r="N81" s="35"/>
      <c r="O81" s="36" t="s">
        <v>50</v>
      </c>
      <c r="P81" s="161">
        <f t="shared" si="22"/>
        <v>21528827.999999996</v>
      </c>
      <c r="Q81" s="16"/>
      <c r="S81" s="1" t="s">
        <v>636</v>
      </c>
      <c r="T81" s="1" t="s">
        <v>637</v>
      </c>
    </row>
    <row r="82" spans="1:20" ht="16.5" customHeight="1" x14ac:dyDescent="0.3">
      <c r="A82" s="16"/>
      <c r="B82" s="14"/>
      <c r="C82" s="15"/>
      <c r="D82" s="26"/>
      <c r="E82" s="47" t="s">
        <v>631</v>
      </c>
      <c r="F82" s="96">
        <f>5%*D81</f>
        <v>1.2305000000000001</v>
      </c>
      <c r="G82" s="96">
        <f>9%*D81</f>
        <v>2.2148999999999996</v>
      </c>
      <c r="H82" s="96">
        <f t="shared" si="21"/>
        <v>3.4453999999999998</v>
      </c>
      <c r="I82" s="97">
        <v>0</v>
      </c>
      <c r="J82" s="97">
        <v>0</v>
      </c>
      <c r="K82" s="97">
        <v>0</v>
      </c>
      <c r="L82" s="97">
        <v>1</v>
      </c>
      <c r="M82" s="97">
        <f t="shared" si="23"/>
        <v>1</v>
      </c>
      <c r="N82" s="35"/>
      <c r="O82" s="36"/>
      <c r="P82" s="161">
        <f t="shared" si="22"/>
        <v>12917296.799999997</v>
      </c>
      <c r="Q82" s="16"/>
      <c r="T82" s="1" t="s">
        <v>638</v>
      </c>
    </row>
    <row r="83" spans="1:20" ht="16.5" customHeight="1" x14ac:dyDescent="0.3">
      <c r="A83" s="16"/>
      <c r="B83" s="14" t="s">
        <v>59</v>
      </c>
      <c r="C83" s="15" t="s">
        <v>43</v>
      </c>
      <c r="D83" s="26">
        <v>22.64</v>
      </c>
      <c r="E83" s="47" t="s">
        <v>187</v>
      </c>
      <c r="F83" s="96">
        <f>10%*D83</f>
        <v>2.2640000000000002</v>
      </c>
      <c r="G83" s="26">
        <f>4%*D83</f>
        <v>0.90560000000000007</v>
      </c>
      <c r="H83" s="26">
        <f t="shared" si="21"/>
        <v>3.1696000000000004</v>
      </c>
      <c r="I83" s="19">
        <v>0</v>
      </c>
      <c r="J83" s="19"/>
      <c r="K83" s="19"/>
      <c r="L83" s="19">
        <v>1</v>
      </c>
      <c r="M83" s="19">
        <f t="shared" si="23"/>
        <v>1</v>
      </c>
      <c r="N83" s="35"/>
      <c r="O83" s="36" t="s">
        <v>137</v>
      </c>
      <c r="P83" s="161">
        <f t="shared" si="22"/>
        <v>5281459.1999999993</v>
      </c>
      <c r="Q83" s="16"/>
    </row>
    <row r="84" spans="1:20" ht="18.75" customHeight="1" x14ac:dyDescent="0.3">
      <c r="A84" s="16"/>
      <c r="B84" s="14" t="s">
        <v>60</v>
      </c>
      <c r="C84" s="15" t="s">
        <v>44</v>
      </c>
      <c r="D84" s="26">
        <v>33</v>
      </c>
      <c r="E84" s="47" t="s">
        <v>187</v>
      </c>
      <c r="F84" s="26">
        <f>9%*D84</f>
        <v>2.9699999999999998</v>
      </c>
      <c r="G84" s="26">
        <f>6%*D84</f>
        <v>1.98</v>
      </c>
      <c r="H84" s="26">
        <f t="shared" si="21"/>
        <v>4.9499999999999993</v>
      </c>
      <c r="I84" s="19">
        <v>0</v>
      </c>
      <c r="J84" s="19">
        <v>0</v>
      </c>
      <c r="K84" s="19">
        <v>0</v>
      </c>
      <c r="L84" s="19">
        <v>2</v>
      </c>
      <c r="M84" s="19">
        <f t="shared" si="23"/>
        <v>2</v>
      </c>
      <c r="N84" s="35"/>
      <c r="O84" s="36" t="s">
        <v>145</v>
      </c>
      <c r="P84" s="161">
        <f t="shared" si="22"/>
        <v>11547359.999999998</v>
      </c>
      <c r="Q84" s="16"/>
    </row>
    <row r="85" spans="1:20" ht="18.75" customHeight="1" x14ac:dyDescent="0.3">
      <c r="A85" s="16"/>
      <c r="B85" s="14" t="s">
        <v>61</v>
      </c>
      <c r="C85" s="15" t="s">
        <v>33</v>
      </c>
      <c r="D85" s="26">
        <v>8.3000000000000007</v>
      </c>
      <c r="E85" s="47" t="s">
        <v>187</v>
      </c>
      <c r="F85" s="26">
        <f>10%*D85</f>
        <v>0.83000000000000007</v>
      </c>
      <c r="G85" s="26">
        <f>6%*D85</f>
        <v>0.498</v>
      </c>
      <c r="H85" s="26">
        <f t="shared" si="21"/>
        <v>1.3280000000000001</v>
      </c>
      <c r="I85" s="19">
        <v>0</v>
      </c>
      <c r="J85" s="19">
        <v>0</v>
      </c>
      <c r="K85" s="19">
        <v>0</v>
      </c>
      <c r="L85" s="19">
        <v>1</v>
      </c>
      <c r="M85" s="19">
        <f t="shared" si="23"/>
        <v>1</v>
      </c>
      <c r="N85" s="35"/>
      <c r="O85" s="36" t="s">
        <v>626</v>
      </c>
      <c r="P85" s="161">
        <f t="shared" si="22"/>
        <v>2904335.9999999995</v>
      </c>
      <c r="Q85" s="16"/>
    </row>
    <row r="86" spans="1:20" ht="19.5" customHeight="1" x14ac:dyDescent="0.3">
      <c r="A86" s="16"/>
      <c r="B86" s="14" t="s">
        <v>62</v>
      </c>
      <c r="C86" s="15" t="s">
        <v>655</v>
      </c>
      <c r="D86" s="26">
        <v>5</v>
      </c>
      <c r="E86" s="47" t="s">
        <v>187</v>
      </c>
      <c r="F86" s="26">
        <f>8%*D86</f>
        <v>0.4</v>
      </c>
      <c r="G86" s="26">
        <f>6%*D86</f>
        <v>0.3</v>
      </c>
      <c r="H86" s="26">
        <f t="shared" si="21"/>
        <v>0.7</v>
      </c>
      <c r="I86" s="19">
        <v>0</v>
      </c>
      <c r="J86" s="19">
        <v>0</v>
      </c>
      <c r="K86" s="19">
        <v>0</v>
      </c>
      <c r="L86" s="19"/>
      <c r="M86" s="19">
        <f t="shared" si="23"/>
        <v>0</v>
      </c>
      <c r="N86" s="35"/>
      <c r="O86" s="36"/>
      <c r="P86" s="161">
        <f t="shared" si="22"/>
        <v>1749599.9999999998</v>
      </c>
      <c r="Q86" s="16"/>
    </row>
    <row r="87" spans="1:20" ht="19.5" customHeight="1" x14ac:dyDescent="0.3">
      <c r="A87" s="16"/>
      <c r="B87" s="14">
        <v>9</v>
      </c>
      <c r="C87" s="15" t="s">
        <v>30</v>
      </c>
      <c r="D87" s="26">
        <v>11.5</v>
      </c>
      <c r="E87" s="47" t="s">
        <v>187</v>
      </c>
      <c r="F87" s="26">
        <f>10%*D87</f>
        <v>1.1500000000000001</v>
      </c>
      <c r="G87" s="26">
        <f>9%*D87</f>
        <v>1.0349999999999999</v>
      </c>
      <c r="H87" s="26">
        <f t="shared" si="21"/>
        <v>2.1850000000000001</v>
      </c>
      <c r="I87" s="19">
        <v>0</v>
      </c>
      <c r="J87" s="19">
        <v>0</v>
      </c>
      <c r="K87" s="19"/>
      <c r="L87" s="19">
        <v>1</v>
      </c>
      <c r="M87" s="19">
        <f t="shared" si="23"/>
        <v>1</v>
      </c>
      <c r="N87" s="35"/>
      <c r="O87" s="36"/>
      <c r="P87" s="161">
        <f t="shared" si="22"/>
        <v>6036119.9999999991</v>
      </c>
      <c r="Q87" s="16"/>
    </row>
    <row r="88" spans="1:20" ht="17.25" customHeight="1" x14ac:dyDescent="0.3">
      <c r="A88" s="87"/>
      <c r="B88" s="55" t="s">
        <v>64</v>
      </c>
      <c r="C88" s="56" t="s">
        <v>31</v>
      </c>
      <c r="D88" s="57">
        <v>6</v>
      </c>
      <c r="E88" s="47" t="s">
        <v>187</v>
      </c>
      <c r="F88" s="26">
        <f>10%*D88</f>
        <v>0.60000000000000009</v>
      </c>
      <c r="G88" s="26">
        <f>10%*D88</f>
        <v>0.60000000000000009</v>
      </c>
      <c r="H88" s="26">
        <f t="shared" si="21"/>
        <v>1.2000000000000002</v>
      </c>
      <c r="I88" s="79">
        <v>0</v>
      </c>
      <c r="J88" s="79">
        <v>0</v>
      </c>
      <c r="K88" s="79">
        <v>0</v>
      </c>
      <c r="L88" s="79">
        <v>1</v>
      </c>
      <c r="M88" s="79">
        <f t="shared" si="23"/>
        <v>1</v>
      </c>
      <c r="N88" s="80"/>
      <c r="O88" s="81"/>
      <c r="P88" s="161">
        <f t="shared" si="22"/>
        <v>3499200</v>
      </c>
      <c r="Q88" s="87"/>
    </row>
    <row r="89" spans="1:20" ht="15.75" customHeight="1" x14ac:dyDescent="0.3">
      <c r="A89" s="75"/>
      <c r="B89" s="72" t="s">
        <v>349</v>
      </c>
      <c r="C89" s="72"/>
      <c r="D89" s="73">
        <f>SUM(D80:D88)</f>
        <v>124.64999999999999</v>
      </c>
      <c r="E89" s="74"/>
      <c r="F89" s="73">
        <f t="shared" ref="F89:K89" si="24">SUM(F80:F88)</f>
        <v>18.025499999999997</v>
      </c>
      <c r="G89" s="73">
        <f t="shared" si="24"/>
        <v>11.904999999999999</v>
      </c>
      <c r="H89" s="73">
        <f t="shared" si="24"/>
        <v>29.930499999999995</v>
      </c>
      <c r="I89" s="83">
        <f t="shared" si="24"/>
        <v>0</v>
      </c>
      <c r="J89" s="83">
        <f t="shared" si="24"/>
        <v>0</v>
      </c>
      <c r="K89" s="83">
        <f t="shared" si="24"/>
        <v>4</v>
      </c>
      <c r="L89" s="83">
        <f>SUM(L79:L88)</f>
        <v>13</v>
      </c>
      <c r="M89" s="83">
        <f>SUM(M80:M88)</f>
        <v>17</v>
      </c>
      <c r="N89" s="76"/>
      <c r="O89" s="77"/>
      <c r="P89" s="184">
        <f>SUM(P80:P88)</f>
        <v>69429960</v>
      </c>
      <c r="Q89" s="75"/>
    </row>
    <row r="90" spans="1:20" ht="15.75" customHeight="1" x14ac:dyDescent="0.3">
      <c r="A90" s="103">
        <v>6</v>
      </c>
      <c r="B90" s="104" t="s">
        <v>116</v>
      </c>
      <c r="C90" s="104"/>
      <c r="D90" s="105"/>
      <c r="E90" s="106"/>
      <c r="F90" s="105"/>
      <c r="G90" s="107"/>
      <c r="H90" s="105"/>
      <c r="I90" s="107"/>
      <c r="J90" s="107"/>
      <c r="K90" s="107"/>
      <c r="L90" s="107"/>
      <c r="M90" s="107"/>
      <c r="N90" s="69"/>
      <c r="O90" s="70"/>
      <c r="P90" s="233"/>
      <c r="Q90" s="68"/>
      <c r="S90" s="1" t="s">
        <v>596</v>
      </c>
    </row>
    <row r="91" spans="1:20" ht="14.25" customHeight="1" x14ac:dyDescent="0.3">
      <c r="A91" s="27"/>
      <c r="B91" s="152" t="s">
        <v>57</v>
      </c>
      <c r="C91" s="99" t="s">
        <v>30</v>
      </c>
      <c r="D91" s="154">
        <v>54.84</v>
      </c>
      <c r="E91" s="101" t="s">
        <v>607</v>
      </c>
      <c r="F91" s="154">
        <f>6%*D91</f>
        <v>3.2904</v>
      </c>
      <c r="G91" s="155">
        <f>7%*D91</f>
        <v>3.8388000000000004</v>
      </c>
      <c r="H91" s="154">
        <f t="shared" ref="H91:H99" si="25">SUM(F91:G91)</f>
        <v>7.1292000000000009</v>
      </c>
      <c r="I91" s="155">
        <v>0</v>
      </c>
      <c r="J91" s="155"/>
      <c r="K91" s="155"/>
      <c r="L91" s="155">
        <v>3</v>
      </c>
      <c r="M91" s="155">
        <f>SUM(I91:L91)</f>
        <v>3</v>
      </c>
      <c r="N91" s="156" t="s">
        <v>86</v>
      </c>
      <c r="O91" s="36" t="s">
        <v>211</v>
      </c>
      <c r="P91" s="236">
        <f t="shared" ref="P91:P99" si="26">G91*0.347*30*21000000</f>
        <v>839200068</v>
      </c>
      <c r="Q91" s="27"/>
      <c r="S91" s="1" t="s">
        <v>597</v>
      </c>
      <c r="T91" s="1" t="s">
        <v>598</v>
      </c>
    </row>
    <row r="92" spans="1:20" ht="12.75" customHeight="1" x14ac:dyDescent="0.3">
      <c r="A92" s="27"/>
      <c r="B92" s="152"/>
      <c r="C92" s="153"/>
      <c r="D92" s="154"/>
      <c r="E92" s="101" t="s">
        <v>625</v>
      </c>
      <c r="F92" s="154">
        <f>8%*D91</f>
        <v>4.3872</v>
      </c>
      <c r="G92" s="155">
        <f>3%*D91</f>
        <v>1.6452</v>
      </c>
      <c r="H92" s="154">
        <f t="shared" ref="H92:H93" si="27">SUM(F92:G92)</f>
        <v>6.0324</v>
      </c>
      <c r="I92" s="155">
        <v>0</v>
      </c>
      <c r="J92" s="155"/>
      <c r="K92" s="155"/>
      <c r="L92" s="155">
        <v>1</v>
      </c>
      <c r="M92" s="155">
        <f>SUM(I92:L92)</f>
        <v>1</v>
      </c>
      <c r="N92" s="156"/>
      <c r="O92" s="40"/>
      <c r="P92" s="236">
        <f t="shared" si="26"/>
        <v>359657171.99999994</v>
      </c>
      <c r="Q92" s="27"/>
    </row>
    <row r="93" spans="1:20" ht="12.75" customHeight="1" x14ac:dyDescent="0.3">
      <c r="A93" s="27"/>
      <c r="B93" s="152"/>
      <c r="C93" s="153"/>
      <c r="D93" s="154"/>
      <c r="E93" s="248" t="s">
        <v>671</v>
      </c>
      <c r="F93" s="154">
        <f>5%*D91</f>
        <v>2.7420000000000004</v>
      </c>
      <c r="G93" s="155">
        <f>2%*D91</f>
        <v>1.0968</v>
      </c>
      <c r="H93" s="154">
        <f t="shared" si="27"/>
        <v>3.8388000000000004</v>
      </c>
      <c r="I93" s="155"/>
      <c r="J93" s="155"/>
      <c r="K93" s="155"/>
      <c r="L93" s="155">
        <v>2</v>
      </c>
      <c r="M93" s="155"/>
      <c r="N93" s="156"/>
      <c r="O93" s="40"/>
      <c r="P93" s="236">
        <f t="shared" si="26"/>
        <v>239771447.99999997</v>
      </c>
      <c r="Q93" s="27"/>
    </row>
    <row r="94" spans="1:20" ht="18" customHeight="1" x14ac:dyDescent="0.3">
      <c r="A94" s="16"/>
      <c r="B94" s="14" t="s">
        <v>58</v>
      </c>
      <c r="C94" s="15" t="s">
        <v>44</v>
      </c>
      <c r="D94" s="26">
        <v>84.65</v>
      </c>
      <c r="E94" s="47" t="s">
        <v>182</v>
      </c>
      <c r="F94" s="26">
        <f>9%*D94</f>
        <v>7.6185</v>
      </c>
      <c r="G94" s="19">
        <f>9%*D94</f>
        <v>7.6185</v>
      </c>
      <c r="H94" s="26">
        <f t="shared" si="25"/>
        <v>15.237</v>
      </c>
      <c r="I94" s="19">
        <v>0</v>
      </c>
      <c r="J94" s="19"/>
      <c r="K94" s="19"/>
      <c r="L94" s="19">
        <v>3</v>
      </c>
      <c r="M94" s="19">
        <f t="shared" ref="M94:M99" si="28">SUM(I94:L94)</f>
        <v>3</v>
      </c>
      <c r="N94" s="35"/>
      <c r="O94" s="36" t="s">
        <v>272</v>
      </c>
      <c r="P94" s="236">
        <f t="shared" si="26"/>
        <v>1665480284.9999998</v>
      </c>
      <c r="Q94" s="16"/>
      <c r="S94" s="1" t="s">
        <v>599</v>
      </c>
      <c r="T94" s="1" t="s">
        <v>600</v>
      </c>
    </row>
    <row r="95" spans="1:20" ht="21" customHeight="1" x14ac:dyDescent="0.3">
      <c r="A95" s="16"/>
      <c r="B95" s="14"/>
      <c r="C95" s="15"/>
      <c r="D95" s="26"/>
      <c r="E95" s="101" t="s">
        <v>181</v>
      </c>
      <c r="F95" s="96">
        <f>9%*D94</f>
        <v>7.6185</v>
      </c>
      <c r="G95" s="97">
        <f>5%*D94</f>
        <v>4.2325000000000008</v>
      </c>
      <c r="H95" s="96">
        <f t="shared" si="25"/>
        <v>11.851000000000001</v>
      </c>
      <c r="I95" s="97">
        <v>0</v>
      </c>
      <c r="J95" s="97"/>
      <c r="K95" s="97">
        <v>0</v>
      </c>
      <c r="L95" s="97">
        <v>5</v>
      </c>
      <c r="M95" s="97">
        <f>SUM(I95:L95)</f>
        <v>5</v>
      </c>
      <c r="N95" s="35"/>
      <c r="O95" s="159" t="s">
        <v>273</v>
      </c>
      <c r="P95" s="236">
        <f t="shared" si="26"/>
        <v>925266825.00000012</v>
      </c>
      <c r="Q95" s="16"/>
    </row>
    <row r="96" spans="1:20" ht="23.25" customHeight="1" x14ac:dyDescent="0.3">
      <c r="A96" s="16"/>
      <c r="B96" s="14" t="s">
        <v>59</v>
      </c>
      <c r="C96" s="15" t="s">
        <v>33</v>
      </c>
      <c r="D96" s="26">
        <v>14.2</v>
      </c>
      <c r="E96" s="101" t="s">
        <v>181</v>
      </c>
      <c r="F96" s="96">
        <f>10%*D96</f>
        <v>1.42</v>
      </c>
      <c r="G96" s="240">
        <f>10%*D96</f>
        <v>1.42</v>
      </c>
      <c r="H96" s="26">
        <f t="shared" si="25"/>
        <v>2.84</v>
      </c>
      <c r="I96" s="19">
        <v>0</v>
      </c>
      <c r="J96" s="19"/>
      <c r="K96" s="19"/>
      <c r="L96" s="19">
        <v>3</v>
      </c>
      <c r="M96" s="19">
        <f t="shared" si="28"/>
        <v>3</v>
      </c>
      <c r="N96" s="35" t="s">
        <v>88</v>
      </c>
      <c r="O96" s="36" t="s">
        <v>274</v>
      </c>
      <c r="P96" s="236">
        <f t="shared" si="26"/>
        <v>310426200</v>
      </c>
      <c r="Q96" s="16"/>
      <c r="S96" s="1" t="s">
        <v>592</v>
      </c>
    </row>
    <row r="97" spans="1:20" ht="23.25" customHeight="1" x14ac:dyDescent="0.3">
      <c r="A97" s="87"/>
      <c r="B97" s="55"/>
      <c r="C97" s="56"/>
      <c r="D97" s="57"/>
      <c r="E97" s="248" t="s">
        <v>671</v>
      </c>
      <c r="F97" s="154">
        <f>1%*D96</f>
        <v>0.14199999999999999</v>
      </c>
      <c r="G97" s="154">
        <f>D96*2%</f>
        <v>0.28399999999999997</v>
      </c>
      <c r="H97" s="154">
        <f t="shared" ref="H97" si="29">SUM(F97:G97)</f>
        <v>0.42599999999999993</v>
      </c>
      <c r="I97" s="155"/>
      <c r="J97" s="155"/>
      <c r="K97" s="155"/>
      <c r="L97" s="155">
        <v>2</v>
      </c>
      <c r="M97" s="155"/>
      <c r="N97" s="156"/>
      <c r="O97" s="40"/>
      <c r="P97" s="236">
        <f t="shared" si="26"/>
        <v>62085239.999999985</v>
      </c>
      <c r="Q97" s="87"/>
    </row>
    <row r="98" spans="1:20" ht="23.25" customHeight="1" x14ac:dyDescent="0.3">
      <c r="A98" s="87"/>
      <c r="B98" s="128" t="s">
        <v>61</v>
      </c>
      <c r="C98" s="126" t="s">
        <v>35</v>
      </c>
      <c r="D98" s="127">
        <v>36.72</v>
      </c>
      <c r="E98" s="101" t="s">
        <v>181</v>
      </c>
      <c r="F98" s="96">
        <f>9%*D98</f>
        <v>3.3047999999999997</v>
      </c>
      <c r="G98" s="97">
        <f>3%*D98</f>
        <v>1.1015999999999999</v>
      </c>
      <c r="H98" s="96">
        <f t="shared" ref="H98" si="30">SUM(F98:G98)</f>
        <v>4.4063999999999997</v>
      </c>
      <c r="I98" s="97">
        <v>0</v>
      </c>
      <c r="J98" s="97"/>
      <c r="K98" s="97">
        <v>0</v>
      </c>
      <c r="L98" s="97">
        <v>5</v>
      </c>
      <c r="M98" s="97">
        <f>SUM(I98:L98)</f>
        <v>5</v>
      </c>
      <c r="N98" s="35"/>
      <c r="O98" s="159" t="s">
        <v>273</v>
      </c>
      <c r="P98" s="236">
        <f t="shared" si="26"/>
        <v>240820775.99999997</v>
      </c>
      <c r="Q98" s="87"/>
    </row>
    <row r="99" spans="1:20" ht="46.5" customHeight="1" x14ac:dyDescent="0.3">
      <c r="A99" s="108"/>
      <c r="B99" s="128"/>
      <c r="C99" s="126"/>
      <c r="D99" s="127"/>
      <c r="E99" s="142" t="s">
        <v>183</v>
      </c>
      <c r="F99" s="127">
        <f>4%*D98</f>
        <v>1.4687999999999999</v>
      </c>
      <c r="G99" s="240">
        <f>2%*D98</f>
        <v>0.73439999999999994</v>
      </c>
      <c r="H99" s="127">
        <f t="shared" si="25"/>
        <v>2.2031999999999998</v>
      </c>
      <c r="I99" s="143">
        <v>0</v>
      </c>
      <c r="J99" s="143">
        <v>0</v>
      </c>
      <c r="K99" s="143">
        <v>0</v>
      </c>
      <c r="L99" s="143">
        <v>3</v>
      </c>
      <c r="M99" s="143">
        <f t="shared" si="28"/>
        <v>3</v>
      </c>
      <c r="N99" s="157" t="s">
        <v>254</v>
      </c>
      <c r="O99" s="249" t="s">
        <v>137</v>
      </c>
      <c r="P99" s="236">
        <f t="shared" si="26"/>
        <v>160547183.99999997</v>
      </c>
      <c r="Q99" s="87"/>
      <c r="S99" s="217" t="s">
        <v>601</v>
      </c>
      <c r="T99" s="216" t="s">
        <v>602</v>
      </c>
    </row>
    <row r="100" spans="1:20" ht="20.25" customHeight="1" x14ac:dyDescent="0.3">
      <c r="A100" s="75"/>
      <c r="B100" s="136" t="s">
        <v>351</v>
      </c>
      <c r="C100" s="137"/>
      <c r="D100" s="138">
        <f>SUM(D91:D99)</f>
        <v>190.41</v>
      </c>
      <c r="E100" s="139"/>
      <c r="F100" s="138">
        <f t="shared" ref="F100:M100" si="31">SUM(F91:F99)</f>
        <v>31.992199999999997</v>
      </c>
      <c r="G100" s="140">
        <f t="shared" si="31"/>
        <v>21.971800000000005</v>
      </c>
      <c r="H100" s="138">
        <f t="shared" si="31"/>
        <v>53.963999999999999</v>
      </c>
      <c r="I100" s="140">
        <f t="shared" si="31"/>
        <v>0</v>
      </c>
      <c r="J100" s="140">
        <f t="shared" si="31"/>
        <v>0</v>
      </c>
      <c r="K100" s="140">
        <f t="shared" si="31"/>
        <v>0</v>
      </c>
      <c r="L100" s="140">
        <f t="shared" si="31"/>
        <v>27</v>
      </c>
      <c r="M100" s="140">
        <f t="shared" si="31"/>
        <v>23</v>
      </c>
      <c r="N100" s="76"/>
      <c r="O100" s="77"/>
      <c r="P100" s="237">
        <f>SUM(P91:P99)</f>
        <v>4803255198</v>
      </c>
      <c r="Q100" s="75"/>
    </row>
    <row r="101" spans="1:20" ht="13.5" customHeight="1" x14ac:dyDescent="0.3">
      <c r="A101" s="63">
        <v>7</v>
      </c>
      <c r="B101" s="8" t="s">
        <v>117</v>
      </c>
      <c r="C101" s="10"/>
      <c r="D101" s="90"/>
      <c r="E101" s="67"/>
      <c r="F101" s="66"/>
      <c r="G101" s="218"/>
      <c r="H101" s="66"/>
      <c r="I101" s="82"/>
      <c r="J101" s="82"/>
      <c r="K101" s="82"/>
      <c r="L101" s="82"/>
      <c r="M101" s="82"/>
      <c r="N101" s="69"/>
      <c r="O101" s="70"/>
      <c r="P101" s="233"/>
      <c r="Q101" s="68"/>
    </row>
    <row r="102" spans="1:20" ht="24.75" customHeight="1" x14ac:dyDescent="0.3">
      <c r="A102" s="16"/>
      <c r="B102" s="14" t="s">
        <v>57</v>
      </c>
      <c r="C102" s="15" t="s">
        <v>22</v>
      </c>
      <c r="D102" s="26">
        <v>300.95</v>
      </c>
      <c r="E102" s="101" t="s">
        <v>203</v>
      </c>
      <c r="F102" s="96">
        <f>2%*D102</f>
        <v>6.0190000000000001</v>
      </c>
      <c r="G102" s="223">
        <f>35%*D102</f>
        <v>105.3325</v>
      </c>
      <c r="H102" s="96">
        <f t="shared" ref="H102:H109" si="32">SUM(F102:G102)</f>
        <v>111.3515</v>
      </c>
      <c r="I102" s="97">
        <v>0</v>
      </c>
      <c r="J102" s="97"/>
      <c r="K102" s="97">
        <v>10</v>
      </c>
      <c r="L102" s="97">
        <v>4</v>
      </c>
      <c r="M102" s="97">
        <f>SUM(I102:L102)</f>
        <v>14</v>
      </c>
      <c r="N102" s="35"/>
      <c r="O102" s="40" t="s">
        <v>211</v>
      </c>
      <c r="P102" s="238">
        <f t="shared" ref="P102:P109" si="33">G102*0.3*30%*40000000</f>
        <v>379196999.99999994</v>
      </c>
      <c r="Q102" s="16"/>
    </row>
    <row r="103" spans="1:20" ht="15" customHeight="1" x14ac:dyDescent="0.3">
      <c r="A103" s="16"/>
      <c r="B103" s="14"/>
      <c r="C103" s="15"/>
      <c r="D103" s="26"/>
      <c r="E103" s="101" t="s">
        <v>184</v>
      </c>
      <c r="F103" s="96">
        <f>1%*D102</f>
        <v>3.0095000000000001</v>
      </c>
      <c r="G103" s="97">
        <f>4%*D102</f>
        <v>12.038</v>
      </c>
      <c r="H103" s="96">
        <f>SUM(F103:G103)</f>
        <v>15.047499999999999</v>
      </c>
      <c r="I103" s="97">
        <v>0</v>
      </c>
      <c r="J103" s="97"/>
      <c r="K103" s="97">
        <v>0</v>
      </c>
      <c r="L103" s="97">
        <v>2</v>
      </c>
      <c r="M103" s="97">
        <f>SUM(I103:L103)</f>
        <v>2</v>
      </c>
      <c r="N103" s="35"/>
      <c r="O103" s="40"/>
      <c r="P103" s="238">
        <f t="shared" si="33"/>
        <v>43336799.999999993</v>
      </c>
      <c r="Q103" s="16"/>
    </row>
    <row r="104" spans="1:20" ht="32.25" customHeight="1" x14ac:dyDescent="0.3">
      <c r="A104" s="16"/>
      <c r="B104" s="98" t="s">
        <v>58</v>
      </c>
      <c r="C104" s="99" t="s">
        <v>42</v>
      </c>
      <c r="D104" s="26">
        <v>277.5</v>
      </c>
      <c r="E104" s="101" t="s">
        <v>203</v>
      </c>
      <c r="F104" s="96">
        <f>1%*D104</f>
        <v>2.7749999999999999</v>
      </c>
      <c r="G104" s="97">
        <f>46%*D104</f>
        <v>127.65</v>
      </c>
      <c r="H104" s="96">
        <f t="shared" si="32"/>
        <v>130.42500000000001</v>
      </c>
      <c r="I104" s="97">
        <v>0</v>
      </c>
      <c r="J104" s="97"/>
      <c r="K104" s="97">
        <v>0</v>
      </c>
      <c r="L104" s="97">
        <v>5</v>
      </c>
      <c r="M104" s="97">
        <f>SUM(I104:L104)</f>
        <v>5</v>
      </c>
      <c r="N104" s="35"/>
      <c r="O104" s="40" t="s">
        <v>137</v>
      </c>
      <c r="P104" s="238">
        <f t="shared" si="33"/>
        <v>459540000</v>
      </c>
      <c r="Q104" s="16"/>
      <c r="S104" s="1" t="s">
        <v>593</v>
      </c>
    </row>
    <row r="105" spans="1:20" ht="14.25" customHeight="1" x14ac:dyDescent="0.3">
      <c r="A105" s="16"/>
      <c r="B105" s="14"/>
      <c r="C105" s="15"/>
      <c r="D105" s="26"/>
      <c r="E105" s="101" t="s">
        <v>184</v>
      </c>
      <c r="F105" s="96">
        <f>2%*D104</f>
        <v>5.55</v>
      </c>
      <c r="G105" s="97">
        <f>5%*D104</f>
        <v>13.875</v>
      </c>
      <c r="H105" s="96">
        <f>SUM(F105:G105)</f>
        <v>19.425000000000001</v>
      </c>
      <c r="I105" s="97"/>
      <c r="J105" s="97"/>
      <c r="K105" s="97"/>
      <c r="L105" s="97"/>
      <c r="M105" s="97"/>
      <c r="N105" s="35"/>
      <c r="O105" s="40"/>
      <c r="P105" s="238">
        <f t="shared" si="33"/>
        <v>49949999.999999993</v>
      </c>
      <c r="Q105" s="16"/>
      <c r="S105" s="1" t="s">
        <v>594</v>
      </c>
    </row>
    <row r="106" spans="1:20" ht="22.5" customHeight="1" x14ac:dyDescent="0.3">
      <c r="A106" s="16"/>
      <c r="B106" s="14" t="s">
        <v>59</v>
      </c>
      <c r="C106" s="15" t="s">
        <v>21</v>
      </c>
      <c r="D106" s="18">
        <v>162.94999999999999</v>
      </c>
      <c r="E106" s="101" t="s">
        <v>203</v>
      </c>
      <c r="F106" s="225">
        <f>4%*D106</f>
        <v>6.5179999999999998</v>
      </c>
      <c r="G106" s="225">
        <f>15%*D106</f>
        <v>24.442499999999999</v>
      </c>
      <c r="H106" s="96">
        <f t="shared" si="32"/>
        <v>30.9605</v>
      </c>
      <c r="I106" s="97">
        <v>0</v>
      </c>
      <c r="J106" s="97"/>
      <c r="K106" s="97">
        <v>6</v>
      </c>
      <c r="L106" s="97">
        <v>5</v>
      </c>
      <c r="M106" s="97">
        <f>SUM(I106:L106)</f>
        <v>11</v>
      </c>
      <c r="N106" s="35"/>
      <c r="O106" s="36"/>
      <c r="P106" s="238">
        <f t="shared" si="33"/>
        <v>87992999.999999985</v>
      </c>
      <c r="Q106" s="16"/>
      <c r="S106" s="1" t="s">
        <v>595</v>
      </c>
    </row>
    <row r="107" spans="1:20" ht="24" customHeight="1" x14ac:dyDescent="0.3">
      <c r="A107" s="16"/>
      <c r="B107" s="14" t="s">
        <v>60</v>
      </c>
      <c r="C107" s="15" t="s">
        <v>43</v>
      </c>
      <c r="D107" s="26">
        <v>461.8</v>
      </c>
      <c r="E107" s="101" t="s">
        <v>221</v>
      </c>
      <c r="F107" s="96">
        <f>4%*D107</f>
        <v>18.472000000000001</v>
      </c>
      <c r="G107" s="97">
        <f>15%*D107</f>
        <v>69.27</v>
      </c>
      <c r="H107" s="96">
        <f t="shared" si="32"/>
        <v>87.74199999999999</v>
      </c>
      <c r="I107" s="97">
        <v>0</v>
      </c>
      <c r="J107" s="97"/>
      <c r="K107" s="97">
        <v>6</v>
      </c>
      <c r="L107" s="97">
        <v>4</v>
      </c>
      <c r="M107" s="97">
        <f>SUM(I107:L107)</f>
        <v>10</v>
      </c>
      <c r="N107" s="35"/>
      <c r="O107" s="36"/>
      <c r="P107" s="238">
        <f t="shared" si="33"/>
        <v>249371999.99999997</v>
      </c>
      <c r="Q107" s="16"/>
    </row>
    <row r="108" spans="1:20" ht="20.25" customHeight="1" x14ac:dyDescent="0.3">
      <c r="A108" s="16"/>
      <c r="B108" s="14"/>
      <c r="C108" s="15"/>
      <c r="D108" s="26"/>
      <c r="E108" s="101" t="s">
        <v>184</v>
      </c>
      <c r="F108" s="96">
        <f>3%*D107</f>
        <v>13.853999999999999</v>
      </c>
      <c r="G108" s="96">
        <f>4%*D107</f>
        <v>18.472000000000001</v>
      </c>
      <c r="H108" s="96">
        <f>SUM(F108:G108)</f>
        <v>32.326000000000001</v>
      </c>
      <c r="I108" s="97"/>
      <c r="J108" s="97"/>
      <c r="K108" s="97"/>
      <c r="L108" s="97"/>
      <c r="M108" s="97"/>
      <c r="N108" s="35"/>
      <c r="O108" s="36"/>
      <c r="P108" s="238">
        <f t="shared" si="33"/>
        <v>66499200</v>
      </c>
      <c r="Q108" s="16"/>
    </row>
    <row r="109" spans="1:20" ht="23.25" customHeight="1" x14ac:dyDescent="0.3">
      <c r="A109" s="16"/>
      <c r="B109" s="14" t="s">
        <v>61</v>
      </c>
      <c r="C109" s="15" t="s">
        <v>44</v>
      </c>
      <c r="D109" s="26">
        <v>84.65</v>
      </c>
      <c r="E109" s="101" t="s">
        <v>203</v>
      </c>
      <c r="F109" s="26">
        <f>1%*D109</f>
        <v>0.84650000000000003</v>
      </c>
      <c r="G109" s="220">
        <f>25%*D109</f>
        <v>21.162500000000001</v>
      </c>
      <c r="H109" s="26">
        <f t="shared" si="32"/>
        <v>22.009</v>
      </c>
      <c r="I109" s="19">
        <v>0</v>
      </c>
      <c r="J109" s="19"/>
      <c r="K109" s="19"/>
      <c r="L109" s="19">
        <v>6</v>
      </c>
      <c r="M109" s="19">
        <f t="shared" ref="M109" si="34">SUM(I109:L109)</f>
        <v>6</v>
      </c>
      <c r="N109" s="35"/>
      <c r="O109" s="36"/>
      <c r="P109" s="238">
        <f t="shared" si="33"/>
        <v>76184999.999999985</v>
      </c>
      <c r="Q109" s="16"/>
    </row>
    <row r="110" spans="1:20" ht="18.75" customHeight="1" x14ac:dyDescent="0.3">
      <c r="A110" s="75"/>
      <c r="B110" s="72" t="s">
        <v>350</v>
      </c>
      <c r="C110" s="72"/>
      <c r="D110" s="73">
        <f>SUM(D102:D109)</f>
        <v>1287.8500000000001</v>
      </c>
      <c r="E110" s="74"/>
      <c r="F110" s="73">
        <f>SUM(F102:F109)</f>
        <v>57.044000000000004</v>
      </c>
      <c r="G110" s="83">
        <f>SUM(G102:G109)</f>
        <v>392.24249999999995</v>
      </c>
      <c r="H110" s="73">
        <f>SUM(H85:H109)</f>
        <v>592.55800000000011</v>
      </c>
      <c r="I110" s="83">
        <f>SUM(I94:I109)</f>
        <v>0</v>
      </c>
      <c r="J110" s="83">
        <f>SUM(J94:J109)</f>
        <v>0</v>
      </c>
      <c r="K110" s="83">
        <f>SUM(K94:K109)</f>
        <v>22</v>
      </c>
      <c r="L110" s="83">
        <f>SUM(L94:L109)</f>
        <v>74</v>
      </c>
      <c r="M110" s="83">
        <f>SUM(M91:M109)</f>
        <v>94</v>
      </c>
      <c r="N110" s="76"/>
      <c r="O110" s="77"/>
      <c r="P110" s="184">
        <f>SUM(P101:P109)</f>
        <v>1412073000</v>
      </c>
      <c r="Q110" s="75"/>
    </row>
    <row r="111" spans="1:20" ht="4.5" customHeight="1" x14ac:dyDescent="0.3">
      <c r="F111" s="2">
        <f>SUM(F102:F110)</f>
        <v>114.08800000000001</v>
      </c>
      <c r="G111" s="2"/>
      <c r="H111" s="2"/>
      <c r="I111" s="2"/>
      <c r="J111" s="2"/>
      <c r="K111" s="2"/>
      <c r="L111" s="2"/>
      <c r="M111" s="2"/>
    </row>
    <row r="112" spans="1:20" ht="15.75" customHeight="1" x14ac:dyDescent="0.3">
      <c r="A112" s="222">
        <v>8</v>
      </c>
      <c r="B112" s="8" t="s">
        <v>608</v>
      </c>
      <c r="C112" s="10"/>
      <c r="D112" s="90"/>
      <c r="E112" s="67"/>
      <c r="F112" s="66"/>
      <c r="G112" s="218"/>
      <c r="H112" s="66"/>
      <c r="I112" s="82"/>
      <c r="J112" s="82"/>
      <c r="K112" s="82"/>
      <c r="L112" s="82"/>
      <c r="M112" s="82"/>
      <c r="N112" s="69"/>
      <c r="O112" s="70"/>
      <c r="P112" s="70"/>
      <c r="Q112" s="87"/>
    </row>
    <row r="113" spans="1:17" ht="29.25" customHeight="1" x14ac:dyDescent="0.3">
      <c r="A113" s="250"/>
      <c r="B113" s="98" t="s">
        <v>57</v>
      </c>
      <c r="C113" s="99" t="s">
        <v>609</v>
      </c>
      <c r="D113" s="96">
        <v>15</v>
      </c>
      <c r="E113" s="101" t="s">
        <v>611</v>
      </c>
      <c r="F113" s="96">
        <f>4%*D113</f>
        <v>0.6</v>
      </c>
      <c r="G113" s="97">
        <f>10%*D113</f>
        <v>1.5</v>
      </c>
      <c r="H113" s="96">
        <f t="shared" ref="H113" si="35">SUM(F113:G113)</f>
        <v>2.1</v>
      </c>
      <c r="I113" s="97">
        <v>0</v>
      </c>
      <c r="J113" s="97"/>
      <c r="K113" s="96"/>
      <c r="L113" s="97">
        <v>1</v>
      </c>
      <c r="M113" s="97">
        <f>SUM(I113:L113)</f>
        <v>1</v>
      </c>
      <c r="N113" s="251" t="s">
        <v>51</v>
      </c>
      <c r="O113" s="169" t="s">
        <v>133</v>
      </c>
      <c r="P113" s="252">
        <f>G113*0.93*30%*7500000</f>
        <v>3138750</v>
      </c>
      <c r="Q113" s="250"/>
    </row>
    <row r="114" spans="1:17" ht="18" customHeight="1" x14ac:dyDescent="0.3">
      <c r="A114" s="250"/>
      <c r="B114" s="98"/>
      <c r="C114" s="99"/>
      <c r="D114" s="96"/>
      <c r="E114" s="101" t="s">
        <v>612</v>
      </c>
      <c r="F114" s="96">
        <f>1%*D113</f>
        <v>0.15</v>
      </c>
      <c r="G114" s="96">
        <f>2%*D113</f>
        <v>0.3</v>
      </c>
      <c r="H114" s="96">
        <f>SUM(F114:G114)</f>
        <v>0.44999999999999996</v>
      </c>
      <c r="I114" s="97">
        <v>0</v>
      </c>
      <c r="J114" s="97"/>
      <c r="K114" s="96"/>
      <c r="L114" s="97"/>
      <c r="M114" s="97">
        <f>SUM(I114:L114)</f>
        <v>0</v>
      </c>
      <c r="N114" s="251"/>
      <c r="O114" s="169"/>
      <c r="P114" s="252">
        <f t="shared" ref="P114:P120" si="36">G114*0.93*80%*8500000</f>
        <v>1897200.0000000002</v>
      </c>
      <c r="Q114" s="250"/>
    </row>
    <row r="115" spans="1:17" ht="24" customHeight="1" x14ac:dyDescent="0.3">
      <c r="A115" s="250"/>
      <c r="B115" s="98" t="s">
        <v>58</v>
      </c>
      <c r="C115" s="99" t="s">
        <v>180</v>
      </c>
      <c r="D115" s="96">
        <v>12</v>
      </c>
      <c r="E115" s="101" t="s">
        <v>611</v>
      </c>
      <c r="F115" s="96">
        <f>3%*D115</f>
        <v>0.36</v>
      </c>
      <c r="G115" s="97">
        <f>5%*D115</f>
        <v>0.60000000000000009</v>
      </c>
      <c r="H115" s="96">
        <f t="shared" ref="H115" si="37">SUM(F115:G115)</f>
        <v>0.96000000000000008</v>
      </c>
      <c r="I115" s="97">
        <v>0</v>
      </c>
      <c r="J115" s="97"/>
      <c r="K115" s="96">
        <v>0</v>
      </c>
      <c r="L115" s="97">
        <v>1</v>
      </c>
      <c r="M115" s="97">
        <f>SUM(I115:L115)</f>
        <v>1</v>
      </c>
      <c r="N115" s="251" t="s">
        <v>51</v>
      </c>
      <c r="O115" s="169" t="s">
        <v>137</v>
      </c>
      <c r="P115" s="252">
        <f t="shared" si="36"/>
        <v>3794400.0000000009</v>
      </c>
      <c r="Q115" s="250"/>
    </row>
    <row r="116" spans="1:17" ht="30" customHeight="1" x14ac:dyDescent="0.3">
      <c r="A116" s="250"/>
      <c r="B116" s="98"/>
      <c r="C116" s="99"/>
      <c r="D116" s="96"/>
      <c r="E116" s="101" t="s">
        <v>612</v>
      </c>
      <c r="F116" s="96">
        <f>5%*D115</f>
        <v>0.60000000000000009</v>
      </c>
      <c r="G116" s="223">
        <f>1%*D115</f>
        <v>0.12</v>
      </c>
      <c r="H116" s="96">
        <f>SUM(F116:G116)</f>
        <v>0.72000000000000008</v>
      </c>
      <c r="I116" s="97"/>
      <c r="J116" s="97"/>
      <c r="K116" s="96"/>
      <c r="L116" s="254">
        <v>0.5</v>
      </c>
      <c r="M116" s="223">
        <f>SUM(I116:L116)</f>
        <v>0.5</v>
      </c>
      <c r="N116" s="251" t="s">
        <v>51</v>
      </c>
      <c r="O116" s="169" t="s">
        <v>673</v>
      </c>
      <c r="P116" s="252">
        <f t="shared" si="36"/>
        <v>758880.00000000012</v>
      </c>
      <c r="Q116" s="250"/>
    </row>
    <row r="117" spans="1:17" ht="18" customHeight="1" x14ac:dyDescent="0.3">
      <c r="A117" s="250"/>
      <c r="B117" s="98" t="s">
        <v>59</v>
      </c>
      <c r="C117" s="99" t="s">
        <v>35</v>
      </c>
      <c r="D117" s="96">
        <v>11</v>
      </c>
      <c r="E117" s="101" t="s">
        <v>611</v>
      </c>
      <c r="F117" s="96">
        <f>10%*D117</f>
        <v>1.1000000000000001</v>
      </c>
      <c r="G117" s="97">
        <f>5%*D117</f>
        <v>0.55000000000000004</v>
      </c>
      <c r="H117" s="96">
        <f t="shared" ref="H117" si="38">SUM(F117:G117)</f>
        <v>1.6500000000000001</v>
      </c>
      <c r="I117" s="97">
        <v>0</v>
      </c>
      <c r="J117" s="97"/>
      <c r="K117" s="96"/>
      <c r="L117" s="97"/>
      <c r="M117" s="223">
        <f t="shared" ref="M117:M121" si="39">SUM(I117:L117)</f>
        <v>0</v>
      </c>
      <c r="N117" s="251"/>
      <c r="O117" s="159"/>
      <c r="P117" s="252">
        <f t="shared" si="36"/>
        <v>3478200.0000000005</v>
      </c>
      <c r="Q117" s="250"/>
    </row>
    <row r="118" spans="1:17" ht="15.75" customHeight="1" x14ac:dyDescent="0.3">
      <c r="A118" s="250"/>
      <c r="B118" s="98"/>
      <c r="C118" s="99"/>
      <c r="D118" s="96"/>
      <c r="E118" s="101" t="s">
        <v>612</v>
      </c>
      <c r="F118" s="96"/>
      <c r="G118" s="96">
        <f>5%*D117</f>
        <v>0.55000000000000004</v>
      </c>
      <c r="H118" s="96">
        <f>SUM(F118:G118)</f>
        <v>0.55000000000000004</v>
      </c>
      <c r="I118" s="97">
        <v>0</v>
      </c>
      <c r="J118" s="97">
        <v>0</v>
      </c>
      <c r="K118" s="96"/>
      <c r="L118" s="97">
        <v>0</v>
      </c>
      <c r="M118" s="96">
        <f t="shared" si="39"/>
        <v>0</v>
      </c>
      <c r="N118" s="251"/>
      <c r="O118" s="159"/>
      <c r="P118" s="252">
        <f t="shared" si="36"/>
        <v>3478200.0000000005</v>
      </c>
      <c r="Q118" s="250"/>
    </row>
    <row r="119" spans="1:17" ht="15.75" customHeight="1" x14ac:dyDescent="0.3">
      <c r="A119" s="250"/>
      <c r="B119" s="122" t="s">
        <v>60</v>
      </c>
      <c r="C119" s="99" t="s">
        <v>34</v>
      </c>
      <c r="D119" s="96">
        <v>28</v>
      </c>
      <c r="E119" s="101" t="s">
        <v>611</v>
      </c>
      <c r="F119" s="96">
        <f>10%*D119</f>
        <v>2.8000000000000003</v>
      </c>
      <c r="G119" s="96">
        <f>5%*D119</f>
        <v>1.4000000000000001</v>
      </c>
      <c r="H119" s="96">
        <f t="shared" ref="H119" si="40">SUM(F119:G119)</f>
        <v>4.2</v>
      </c>
      <c r="I119" s="97">
        <v>0</v>
      </c>
      <c r="J119" s="97"/>
      <c r="K119" s="96"/>
      <c r="L119" s="97">
        <v>1</v>
      </c>
      <c r="M119" s="97">
        <f t="shared" si="39"/>
        <v>1</v>
      </c>
      <c r="N119" s="251"/>
      <c r="O119" s="159"/>
      <c r="P119" s="252">
        <f t="shared" si="36"/>
        <v>8853600.0000000019</v>
      </c>
      <c r="Q119" s="250"/>
    </row>
    <row r="120" spans="1:17" ht="24" customHeight="1" x14ac:dyDescent="0.3">
      <c r="A120" s="250"/>
      <c r="B120" s="122"/>
      <c r="C120" s="99"/>
      <c r="D120" s="96"/>
      <c r="E120" s="101" t="s">
        <v>612</v>
      </c>
      <c r="F120" s="96"/>
      <c r="G120" s="96">
        <f>5%*D119</f>
        <v>1.4000000000000001</v>
      </c>
      <c r="H120" s="96">
        <f>SUM(F120:G120)</f>
        <v>1.4000000000000001</v>
      </c>
      <c r="I120" s="97">
        <v>0</v>
      </c>
      <c r="J120" s="97">
        <v>0</v>
      </c>
      <c r="K120" s="96"/>
      <c r="L120" s="97">
        <v>1</v>
      </c>
      <c r="M120" s="97">
        <f t="shared" si="39"/>
        <v>1</v>
      </c>
      <c r="N120" s="251"/>
      <c r="O120" s="159"/>
      <c r="P120" s="252">
        <f t="shared" si="36"/>
        <v>8853600.0000000019</v>
      </c>
      <c r="Q120" s="250"/>
    </row>
    <row r="121" spans="1:17" ht="24" customHeight="1" x14ac:dyDescent="0.3">
      <c r="A121" s="250"/>
      <c r="B121" s="122"/>
      <c r="C121" s="123"/>
      <c r="D121" s="124"/>
      <c r="E121" s="132"/>
      <c r="F121" s="124"/>
      <c r="G121" s="124"/>
      <c r="H121" s="124">
        <f>SUM(F121:G121)</f>
        <v>0</v>
      </c>
      <c r="I121" s="133">
        <v>0</v>
      </c>
      <c r="J121" s="133">
        <v>0</v>
      </c>
      <c r="K121" s="124">
        <v>0</v>
      </c>
      <c r="L121" s="133">
        <v>0</v>
      </c>
      <c r="M121" s="133">
        <f t="shared" si="39"/>
        <v>0</v>
      </c>
      <c r="N121" s="157"/>
      <c r="O121" s="158"/>
      <c r="P121" s="253"/>
      <c r="Q121" s="250"/>
    </row>
    <row r="122" spans="1:17" ht="19.5" customHeight="1" x14ac:dyDescent="0.3">
      <c r="A122" s="75"/>
      <c r="B122" s="72" t="s">
        <v>610</v>
      </c>
      <c r="C122" s="72"/>
      <c r="D122" s="73">
        <f>SUM(D113:D121)</f>
        <v>66</v>
      </c>
      <c r="E122" s="74"/>
      <c r="F122" s="73">
        <f>SUM(F119:F121)</f>
        <v>2.8000000000000003</v>
      </c>
      <c r="G122" s="83">
        <f>SUM(G117:G121)</f>
        <v>3.9000000000000004</v>
      </c>
      <c r="H122" s="73">
        <f>SUM(H113:H121)</f>
        <v>12.03</v>
      </c>
      <c r="I122" s="83">
        <f>SUM(I101:I121)</f>
        <v>0</v>
      </c>
      <c r="J122" s="83">
        <f>SUM(J101:J121)</f>
        <v>0</v>
      </c>
      <c r="K122" s="73">
        <f>SUM(K113:K121)</f>
        <v>0</v>
      </c>
      <c r="L122" s="83">
        <f>SUM(L113:L121)</f>
        <v>4.5</v>
      </c>
      <c r="M122" s="83">
        <f>SUM(M113:M121)</f>
        <v>4.5</v>
      </c>
      <c r="N122" s="76"/>
      <c r="O122" s="77"/>
      <c r="P122" s="168">
        <f>SUM(P113:P121)</f>
        <v>34252830</v>
      </c>
      <c r="Q122" s="75"/>
    </row>
    <row r="123" spans="1:17" ht="16.5" customHeight="1" x14ac:dyDescent="0.3">
      <c r="F123" s="2"/>
      <c r="G123" s="2"/>
      <c r="H123" s="2"/>
      <c r="I123" s="2"/>
      <c r="J123" s="2" t="s">
        <v>672</v>
      </c>
      <c r="K123" s="2"/>
      <c r="L123" s="2"/>
      <c r="M123" s="2"/>
    </row>
    <row r="124" spans="1:17" ht="12" customHeight="1" x14ac:dyDescent="0.3">
      <c r="A124" s="395" t="s">
        <v>80</v>
      </c>
      <c r="B124" s="395"/>
      <c r="C124" s="395"/>
      <c r="D124" s="395"/>
    </row>
    <row r="125" spans="1:17" x14ac:dyDescent="0.3">
      <c r="A125" s="395" t="s">
        <v>81</v>
      </c>
      <c r="B125" s="395"/>
      <c r="C125" s="395"/>
      <c r="D125" s="395"/>
      <c r="J125" s="1" t="s">
        <v>85</v>
      </c>
    </row>
    <row r="126" spans="1:17" x14ac:dyDescent="0.3">
      <c r="A126" s="395" t="s">
        <v>82</v>
      </c>
      <c r="B126" s="395"/>
      <c r="C126" s="395"/>
      <c r="D126" s="395"/>
      <c r="J126" s="3" t="s">
        <v>86</v>
      </c>
      <c r="K126" s="1" t="s">
        <v>175</v>
      </c>
      <c r="O126" s="1" t="s">
        <v>90</v>
      </c>
    </row>
    <row r="127" spans="1:17" x14ac:dyDescent="0.3">
      <c r="A127" s="395" t="s">
        <v>83</v>
      </c>
      <c r="B127" s="395"/>
      <c r="C127" s="395"/>
      <c r="D127" s="395"/>
      <c r="K127" s="1" t="s">
        <v>651</v>
      </c>
    </row>
    <row r="128" spans="1:17" ht="9.75" customHeight="1" x14ac:dyDescent="0.3"/>
    <row r="129" spans="1:15" ht="14.25" customHeight="1" x14ac:dyDescent="0.3">
      <c r="J129" s="3" t="s">
        <v>88</v>
      </c>
      <c r="K129" s="1" t="s">
        <v>87</v>
      </c>
      <c r="O129" s="1" t="s">
        <v>90</v>
      </c>
    </row>
    <row r="130" spans="1:15" x14ac:dyDescent="0.3">
      <c r="K130" s="1" t="s">
        <v>91</v>
      </c>
    </row>
    <row r="131" spans="1:15" ht="13.5" customHeight="1" x14ac:dyDescent="0.3">
      <c r="A131" s="398" t="s">
        <v>175</v>
      </c>
      <c r="B131" s="398"/>
      <c r="C131" s="398"/>
      <c r="D131" s="398"/>
    </row>
    <row r="132" spans="1:15" x14ac:dyDescent="0.3">
      <c r="A132" s="395" t="s">
        <v>190</v>
      </c>
      <c r="B132" s="395"/>
      <c r="C132" s="395"/>
      <c r="D132" s="395"/>
      <c r="J132" s="1" t="s">
        <v>254</v>
      </c>
      <c r="K132" s="1" t="s">
        <v>89</v>
      </c>
      <c r="O132" s="1" t="s">
        <v>90</v>
      </c>
    </row>
    <row r="133" spans="1:15" x14ac:dyDescent="0.3">
      <c r="K133" s="1" t="s">
        <v>92</v>
      </c>
    </row>
    <row r="134" spans="1:15" ht="8.25" customHeight="1" x14ac:dyDescent="0.3"/>
    <row r="135" spans="1:15" x14ac:dyDescent="0.3">
      <c r="J135" s="241" t="s">
        <v>265</v>
      </c>
      <c r="K135" s="1" t="s">
        <v>652</v>
      </c>
      <c r="O135" s="1" t="s">
        <v>90</v>
      </c>
    </row>
    <row r="136" spans="1:15" ht="14.25" customHeight="1" x14ac:dyDescent="0.3">
      <c r="J136" s="241"/>
      <c r="K136" s="1" t="s">
        <v>658</v>
      </c>
    </row>
    <row r="137" spans="1:15" ht="5.25" customHeight="1" x14ac:dyDescent="0.3">
      <c r="J137" s="241"/>
    </row>
    <row r="138" spans="1:15" x14ac:dyDescent="0.3">
      <c r="J138" s="241" t="s">
        <v>650</v>
      </c>
      <c r="K138" s="1" t="s">
        <v>255</v>
      </c>
      <c r="O138" s="1" t="s">
        <v>90</v>
      </c>
    </row>
    <row r="139" spans="1:15" x14ac:dyDescent="0.3">
      <c r="K139" s="1" t="s">
        <v>654</v>
      </c>
    </row>
  </sheetData>
  <mergeCells count="24">
    <mergeCell ref="A131:D131"/>
    <mergeCell ref="A132:D132"/>
    <mergeCell ref="O44:O56"/>
    <mergeCell ref="O58:O63"/>
    <mergeCell ref="A124:D124"/>
    <mergeCell ref="A125:D125"/>
    <mergeCell ref="A126:D126"/>
    <mergeCell ref="A127:D127"/>
    <mergeCell ref="O36:O42"/>
    <mergeCell ref="A1:Q1"/>
    <mergeCell ref="A2:Q2"/>
    <mergeCell ref="A6:A7"/>
    <mergeCell ref="B6:C6"/>
    <mergeCell ref="D6:D7"/>
    <mergeCell ref="E6:E7"/>
    <mergeCell ref="F6:H6"/>
    <mergeCell ref="I6:M6"/>
    <mergeCell ref="N6:O7"/>
    <mergeCell ref="P6:P7"/>
    <mergeCell ref="Q6:Q7"/>
    <mergeCell ref="B7:C7"/>
    <mergeCell ref="B24:C24"/>
    <mergeCell ref="O26:O33"/>
    <mergeCell ref="B34:C34"/>
  </mergeCells>
  <pageMargins left="0.36" right="0.70866141732283472" top="0.74803149606299213" bottom="0.74803149606299213" header="0.31496062992125984" footer="0.31496062992125984"/>
  <pageSetup paperSize="5" scale="90" orientation="landscape" horizontalDpi="4294967293"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T138"/>
  <sheetViews>
    <sheetView view="pageBreakPreview" topLeftCell="A79" zoomScale="96" zoomScaleNormal="100" zoomScaleSheetLayoutView="96" workbookViewId="0">
      <selection activeCell="O89" sqref="O89"/>
    </sheetView>
  </sheetViews>
  <sheetFormatPr defaultColWidth="9.1796875" defaultRowHeight="14" x14ac:dyDescent="0.3"/>
  <cols>
    <col min="1" max="1" width="4.81640625" style="1" customWidth="1"/>
    <col min="2" max="2" width="2.1796875" style="1" customWidth="1"/>
    <col min="3" max="3" width="16.26953125" style="1" customWidth="1"/>
    <col min="4" max="4" width="12" style="1" customWidth="1"/>
    <col min="5" max="5" width="30.54296875" style="1" customWidth="1"/>
    <col min="6" max="6" width="11" style="1" bestFit="1" customWidth="1"/>
    <col min="7" max="7" width="8.81640625" style="1" customWidth="1"/>
    <col min="8" max="8" width="9" style="1" customWidth="1"/>
    <col min="9" max="9" width="6.7265625" style="1" customWidth="1"/>
    <col min="10" max="10" width="7" style="1" customWidth="1"/>
    <col min="11" max="12" width="7.54296875" style="1" customWidth="1"/>
    <col min="13" max="13" width="6.81640625" style="1" bestFit="1" customWidth="1"/>
    <col min="14" max="14" width="2" style="1" customWidth="1"/>
    <col min="15" max="15" width="17" style="1" customWidth="1"/>
    <col min="16" max="16" width="15" style="1" customWidth="1"/>
    <col min="17" max="17" width="8.81640625" style="1" customWidth="1"/>
    <col min="18" max="19" width="9.1796875" style="1"/>
    <col min="20" max="20" width="10.7265625" style="1" customWidth="1"/>
    <col min="21" max="16384" width="9.1796875" style="1"/>
  </cols>
  <sheetData>
    <row r="1" spans="1:20" x14ac:dyDescent="0.3">
      <c r="A1" s="385" t="s">
        <v>260</v>
      </c>
      <c r="B1" s="385"/>
      <c r="C1" s="385"/>
      <c r="D1" s="385"/>
      <c r="E1" s="385"/>
      <c r="F1" s="385"/>
      <c r="G1" s="385"/>
      <c r="H1" s="385"/>
      <c r="I1" s="385"/>
      <c r="J1" s="385"/>
      <c r="K1" s="385"/>
      <c r="L1" s="385"/>
      <c r="M1" s="385"/>
      <c r="N1" s="385"/>
      <c r="O1" s="385"/>
      <c r="P1" s="385"/>
      <c r="Q1" s="385"/>
    </row>
    <row r="2" spans="1:20" ht="14.25" customHeight="1" x14ac:dyDescent="0.3">
      <c r="A2" s="385" t="s">
        <v>646</v>
      </c>
      <c r="B2" s="385"/>
      <c r="C2" s="385"/>
      <c r="D2" s="385"/>
      <c r="E2" s="385"/>
      <c r="F2" s="385"/>
      <c r="G2" s="385"/>
      <c r="H2" s="385"/>
      <c r="I2" s="385"/>
      <c r="J2" s="385"/>
      <c r="K2" s="385"/>
      <c r="L2" s="385"/>
      <c r="M2" s="385"/>
      <c r="N2" s="385"/>
      <c r="O2" s="385"/>
      <c r="P2" s="385"/>
      <c r="Q2" s="385"/>
    </row>
    <row r="3" spans="1:20" ht="14.25" customHeight="1" x14ac:dyDescent="0.3">
      <c r="A3" s="1" t="s">
        <v>1</v>
      </c>
      <c r="C3" s="1" t="s">
        <v>603</v>
      </c>
    </row>
    <row r="4" spans="1:20" ht="14.25" customHeight="1" x14ac:dyDescent="0.3">
      <c r="A4" s="1" t="s">
        <v>2</v>
      </c>
      <c r="C4" s="1" t="s">
        <v>675</v>
      </c>
      <c r="D4" s="4"/>
    </row>
    <row r="5" spans="1:20" ht="6" customHeight="1" x14ac:dyDescent="0.3"/>
    <row r="6" spans="1:20" x14ac:dyDescent="0.3">
      <c r="A6" s="386" t="s">
        <v>3</v>
      </c>
      <c r="B6" s="388" t="s">
        <v>4</v>
      </c>
      <c r="C6" s="388"/>
      <c r="D6" s="391" t="s">
        <v>259</v>
      </c>
      <c r="E6" s="391" t="s">
        <v>7</v>
      </c>
      <c r="F6" s="393" t="s">
        <v>170</v>
      </c>
      <c r="G6" s="393"/>
      <c r="H6" s="393"/>
      <c r="I6" s="393" t="s">
        <v>12</v>
      </c>
      <c r="J6" s="393"/>
      <c r="K6" s="393"/>
      <c r="L6" s="393"/>
      <c r="M6" s="393"/>
      <c r="N6" s="391" t="s">
        <v>17</v>
      </c>
      <c r="O6" s="391"/>
      <c r="P6" s="391" t="s">
        <v>258</v>
      </c>
      <c r="Q6" s="386" t="s">
        <v>192</v>
      </c>
    </row>
    <row r="7" spans="1:20" ht="24.75" customHeight="1" x14ac:dyDescent="0.3">
      <c r="A7" s="387"/>
      <c r="B7" s="394" t="s">
        <v>5</v>
      </c>
      <c r="C7" s="394"/>
      <c r="D7" s="392"/>
      <c r="E7" s="392"/>
      <c r="F7" s="147" t="s">
        <v>9</v>
      </c>
      <c r="G7" s="147" t="s">
        <v>10</v>
      </c>
      <c r="H7" s="147" t="s">
        <v>11</v>
      </c>
      <c r="I7" s="147" t="s">
        <v>16</v>
      </c>
      <c r="J7" s="147" t="s">
        <v>13</v>
      </c>
      <c r="K7" s="147" t="s">
        <v>14</v>
      </c>
      <c r="L7" s="148" t="s">
        <v>257</v>
      </c>
      <c r="M7" s="147" t="s">
        <v>11</v>
      </c>
      <c r="N7" s="392"/>
      <c r="O7" s="392"/>
      <c r="P7" s="392"/>
      <c r="Q7" s="387"/>
    </row>
    <row r="8" spans="1:20" ht="6" customHeight="1" x14ac:dyDescent="0.3">
      <c r="A8" s="5"/>
      <c r="B8" s="8"/>
      <c r="C8" s="10"/>
      <c r="D8" s="5"/>
      <c r="E8" s="5"/>
      <c r="F8" s="5"/>
      <c r="G8" s="5"/>
      <c r="H8" s="5"/>
      <c r="I8" s="5"/>
      <c r="J8" s="5"/>
      <c r="K8" s="5"/>
      <c r="L8" s="5"/>
      <c r="M8" s="5"/>
      <c r="N8" s="8"/>
      <c r="O8" s="10"/>
      <c r="P8" s="10"/>
      <c r="Q8" s="5"/>
    </row>
    <row r="9" spans="1:20" ht="14.25" customHeight="1" x14ac:dyDescent="0.3">
      <c r="A9" s="13">
        <v>1</v>
      </c>
      <c r="B9" s="14" t="s">
        <v>20</v>
      </c>
      <c r="C9" s="15"/>
      <c r="D9" s="16"/>
      <c r="E9" s="47"/>
      <c r="F9" s="16"/>
      <c r="G9" s="16"/>
      <c r="H9" s="16"/>
      <c r="I9" s="16"/>
      <c r="J9" s="16"/>
      <c r="K9" s="16"/>
      <c r="L9" s="16"/>
      <c r="M9" s="16"/>
      <c r="N9" s="35"/>
      <c r="O9" s="36"/>
      <c r="P9" s="226"/>
      <c r="Q9" s="16"/>
    </row>
    <row r="10" spans="1:20" ht="30" customHeight="1" x14ac:dyDescent="0.3">
      <c r="A10" s="13"/>
      <c r="B10" s="17" t="s">
        <v>57</v>
      </c>
      <c r="C10" s="15" t="s">
        <v>21</v>
      </c>
      <c r="D10" s="18">
        <v>430.06</v>
      </c>
      <c r="E10" s="49" t="s">
        <v>649</v>
      </c>
      <c r="F10" s="26">
        <f>2%*D10</f>
        <v>8.6012000000000004</v>
      </c>
      <c r="G10" s="26">
        <f>0.3%*D10</f>
        <v>1.2901800000000001</v>
      </c>
      <c r="H10" s="26">
        <f>SUM(F10:G10)</f>
        <v>9.8913799999999998</v>
      </c>
      <c r="I10" s="19">
        <v>0</v>
      </c>
      <c r="J10" s="19"/>
      <c r="K10" s="19"/>
      <c r="L10" s="19">
        <v>2</v>
      </c>
      <c r="M10" s="20">
        <f>SUM(I10:L10)</f>
        <v>2</v>
      </c>
      <c r="N10" s="37"/>
      <c r="O10" s="36"/>
      <c r="P10" s="227">
        <f t="shared" ref="P10:P23" si="0">G10*0.261*12%*0</f>
        <v>0</v>
      </c>
      <c r="Q10" s="16"/>
      <c r="S10" s="1" t="s">
        <v>333</v>
      </c>
      <c r="T10" s="1" t="s">
        <v>341</v>
      </c>
    </row>
    <row r="11" spans="1:20" ht="15.75" customHeight="1" x14ac:dyDescent="0.3">
      <c r="A11" s="13"/>
      <c r="B11" s="14"/>
      <c r="C11" s="15"/>
      <c r="D11" s="18"/>
      <c r="E11" s="47" t="s">
        <v>37</v>
      </c>
      <c r="F11" s="26">
        <f>3%*D10</f>
        <v>12.9018</v>
      </c>
      <c r="G11" s="26">
        <f>0.4%*D10</f>
        <v>1.72024</v>
      </c>
      <c r="H11" s="26">
        <f>SUM(F11:G11)</f>
        <v>14.62204</v>
      </c>
      <c r="I11" s="19">
        <v>0</v>
      </c>
      <c r="J11" s="19"/>
      <c r="K11" s="19"/>
      <c r="L11" s="19">
        <v>3</v>
      </c>
      <c r="M11" s="20">
        <f t="shared" ref="M11:M23" si="1">SUM(I11:L11)</f>
        <v>3</v>
      </c>
      <c r="N11" s="37" t="s">
        <v>51</v>
      </c>
      <c r="O11" s="38" t="s">
        <v>50</v>
      </c>
      <c r="P11" s="227">
        <f t="shared" si="0"/>
        <v>0</v>
      </c>
      <c r="Q11" s="16"/>
    </row>
    <row r="12" spans="1:20" ht="18.75" customHeight="1" x14ac:dyDescent="0.3">
      <c r="A12" s="13"/>
      <c r="B12" s="14"/>
      <c r="C12" s="15"/>
      <c r="D12" s="18"/>
      <c r="E12" s="47" t="s">
        <v>38</v>
      </c>
      <c r="F12" s="26">
        <f>1%*D10</f>
        <v>4.3006000000000002</v>
      </c>
      <c r="G12" s="26">
        <f>1%*D10</f>
        <v>4.3006000000000002</v>
      </c>
      <c r="H12" s="26">
        <f>SUM(F12:G12)</f>
        <v>8.6012000000000004</v>
      </c>
      <c r="I12" s="19">
        <v>0</v>
      </c>
      <c r="J12" s="19"/>
      <c r="K12" s="19"/>
      <c r="L12" s="19">
        <v>4</v>
      </c>
      <c r="M12" s="20">
        <f t="shared" si="1"/>
        <v>4</v>
      </c>
      <c r="N12" s="37" t="s">
        <v>51</v>
      </c>
      <c r="O12" s="36" t="s">
        <v>678</v>
      </c>
      <c r="P12" s="227">
        <f t="shared" si="0"/>
        <v>0</v>
      </c>
      <c r="Q12" s="16"/>
      <c r="S12" s="1" t="s">
        <v>343</v>
      </c>
    </row>
    <row r="13" spans="1:20" ht="31.5" customHeight="1" x14ac:dyDescent="0.3">
      <c r="A13" s="102"/>
      <c r="B13" s="98"/>
      <c r="C13" s="99"/>
      <c r="D13" s="255"/>
      <c r="E13" s="101" t="s">
        <v>39</v>
      </c>
      <c r="F13" s="96">
        <f>10%*D10</f>
        <v>43.006</v>
      </c>
      <c r="G13" s="96">
        <f>4%*D10</f>
        <v>17.202400000000001</v>
      </c>
      <c r="H13" s="96">
        <f>SUM(F13:G13)</f>
        <v>60.208399999999997</v>
      </c>
      <c r="I13" s="97">
        <v>0</v>
      </c>
      <c r="J13" s="97">
        <v>0</v>
      </c>
      <c r="K13" s="97">
        <v>0</v>
      </c>
      <c r="L13" s="97">
        <v>5</v>
      </c>
      <c r="M13" s="121">
        <f t="shared" si="1"/>
        <v>5</v>
      </c>
      <c r="N13" s="256" t="s">
        <v>51</v>
      </c>
      <c r="O13" s="169" t="s">
        <v>48</v>
      </c>
      <c r="P13" s="228">
        <f t="shared" si="0"/>
        <v>0</v>
      </c>
      <c r="Q13" s="257"/>
      <c r="S13" s="1" t="s">
        <v>342</v>
      </c>
    </row>
    <row r="14" spans="1:20" ht="18.75" customHeight="1" x14ac:dyDescent="0.3">
      <c r="A14" s="13"/>
      <c r="B14" s="17" t="s">
        <v>58</v>
      </c>
      <c r="C14" s="15" t="s">
        <v>22</v>
      </c>
      <c r="D14" s="18">
        <v>856.82</v>
      </c>
      <c r="E14" s="47" t="s">
        <v>36</v>
      </c>
      <c r="F14" s="26">
        <f>3%*D14</f>
        <v>25.704599999999999</v>
      </c>
      <c r="G14" s="26">
        <f>3%*D14</f>
        <v>25.704599999999999</v>
      </c>
      <c r="H14" s="26">
        <f>SUM(F14:G14)</f>
        <v>51.409199999999998</v>
      </c>
      <c r="I14" s="19">
        <v>0</v>
      </c>
      <c r="J14" s="19"/>
      <c r="K14" s="19"/>
      <c r="L14" s="19">
        <v>6</v>
      </c>
      <c r="M14" s="20">
        <f t="shared" si="1"/>
        <v>6</v>
      </c>
      <c r="N14" s="35" t="s">
        <v>51</v>
      </c>
      <c r="O14" s="41" t="s">
        <v>137</v>
      </c>
      <c r="P14" s="227">
        <f t="shared" si="0"/>
        <v>0</v>
      </c>
      <c r="Q14" s="16"/>
    </row>
    <row r="15" spans="1:20" ht="18.75" customHeight="1" x14ac:dyDescent="0.3">
      <c r="A15" s="13"/>
      <c r="B15" s="14"/>
      <c r="C15" s="15"/>
      <c r="D15" s="26"/>
      <c r="E15" s="47" t="s">
        <v>37</v>
      </c>
      <c r="F15" s="26">
        <f>4%*D14</f>
        <v>34.272800000000004</v>
      </c>
      <c r="G15" s="26">
        <f>2%*D14</f>
        <v>17.136400000000002</v>
      </c>
      <c r="H15" s="26">
        <f t="shared" ref="H15:H17" si="2">SUM(F15:G15)</f>
        <v>51.409200000000006</v>
      </c>
      <c r="I15" s="19">
        <v>0</v>
      </c>
      <c r="J15" s="19"/>
      <c r="K15" s="19"/>
      <c r="L15" s="19">
        <v>6</v>
      </c>
      <c r="M15" s="20">
        <f t="shared" si="1"/>
        <v>6</v>
      </c>
      <c r="N15" s="35"/>
      <c r="O15" s="36"/>
      <c r="P15" s="227">
        <f t="shared" si="0"/>
        <v>0</v>
      </c>
      <c r="Q15" s="16"/>
      <c r="S15" s="1" t="s">
        <v>344</v>
      </c>
    </row>
    <row r="16" spans="1:20" ht="18.75" customHeight="1" x14ac:dyDescent="0.3">
      <c r="A16" s="13"/>
      <c r="B16" s="14"/>
      <c r="C16" s="15"/>
      <c r="D16" s="26"/>
      <c r="E16" s="47" t="s">
        <v>38</v>
      </c>
      <c r="F16" s="26">
        <f>3%*D14</f>
        <v>25.704599999999999</v>
      </c>
      <c r="G16" s="26">
        <f>2%*D14</f>
        <v>17.136400000000002</v>
      </c>
      <c r="H16" s="26">
        <f t="shared" si="2"/>
        <v>42.841000000000001</v>
      </c>
      <c r="I16" s="19">
        <v>0</v>
      </c>
      <c r="J16" s="19"/>
      <c r="K16" s="19"/>
      <c r="L16" s="19">
        <v>7</v>
      </c>
      <c r="M16" s="20">
        <f t="shared" si="1"/>
        <v>7</v>
      </c>
      <c r="N16" s="35"/>
      <c r="O16" s="36"/>
      <c r="P16" s="227">
        <f t="shared" si="0"/>
        <v>0</v>
      </c>
      <c r="Q16" s="16"/>
      <c r="S16" s="1" t="s">
        <v>345</v>
      </c>
    </row>
    <row r="17" spans="1:20" ht="17.25" customHeight="1" x14ac:dyDescent="0.3">
      <c r="A17" s="54"/>
      <c r="B17" s="55"/>
      <c r="C17" s="56"/>
      <c r="D17" s="57"/>
      <c r="E17" s="58" t="s">
        <v>39</v>
      </c>
      <c r="F17" s="119">
        <f>3%*D14</f>
        <v>25.704599999999999</v>
      </c>
      <c r="G17" s="119">
        <f>2%*D14</f>
        <v>17.136400000000002</v>
      </c>
      <c r="H17" s="119">
        <f t="shared" si="2"/>
        <v>42.841000000000001</v>
      </c>
      <c r="I17" s="59">
        <v>0</v>
      </c>
      <c r="J17" s="59">
        <v>0</v>
      </c>
      <c r="K17" s="59">
        <v>0</v>
      </c>
      <c r="L17" s="59">
        <v>4</v>
      </c>
      <c r="M17" s="60">
        <f t="shared" si="1"/>
        <v>4</v>
      </c>
      <c r="N17" s="42"/>
      <c r="O17" s="38"/>
      <c r="P17" s="227">
        <f t="shared" si="0"/>
        <v>0</v>
      </c>
      <c r="Q17" s="29"/>
    </row>
    <row r="18" spans="1:20" ht="18.75" customHeight="1" x14ac:dyDescent="0.3">
      <c r="A18" s="54"/>
      <c r="B18" s="55" t="s">
        <v>59</v>
      </c>
      <c r="C18" s="56" t="s">
        <v>27</v>
      </c>
      <c r="D18" s="18">
        <v>113.45</v>
      </c>
      <c r="E18" s="47" t="s">
        <v>36</v>
      </c>
      <c r="F18" s="26">
        <f>15%*D18</f>
        <v>17.017499999999998</v>
      </c>
      <c r="G18" s="26">
        <f>1%*F18</f>
        <v>0.17017499999999999</v>
      </c>
      <c r="H18" s="26">
        <f>SUM(F18:G18)</f>
        <v>17.187674999999999</v>
      </c>
      <c r="I18" s="19">
        <v>0</v>
      </c>
      <c r="J18" s="19"/>
      <c r="K18" s="19"/>
      <c r="L18" s="19">
        <v>4</v>
      </c>
      <c r="M18" s="20">
        <f t="shared" si="1"/>
        <v>4</v>
      </c>
      <c r="N18" s="42"/>
      <c r="O18" s="38"/>
      <c r="P18" s="227">
        <f t="shared" si="0"/>
        <v>0</v>
      </c>
      <c r="Q18" s="29"/>
    </row>
    <row r="19" spans="1:20" ht="16.5" customHeight="1" x14ac:dyDescent="0.3">
      <c r="A19" s="54"/>
      <c r="B19" s="55"/>
      <c r="C19" s="56"/>
      <c r="D19" s="26"/>
      <c r="E19" s="47" t="s">
        <v>37</v>
      </c>
      <c r="F19" s="26">
        <f>3%*D18</f>
        <v>3.4034999999999997</v>
      </c>
      <c r="G19" s="26">
        <f>3%*D18</f>
        <v>3.4034999999999997</v>
      </c>
      <c r="H19" s="26">
        <f t="shared" ref="H19:H20" si="3">SUM(F19:G19)</f>
        <v>6.8069999999999995</v>
      </c>
      <c r="I19" s="19">
        <v>0</v>
      </c>
      <c r="J19" s="19"/>
      <c r="K19" s="19"/>
      <c r="L19" s="19">
        <v>6</v>
      </c>
      <c r="M19" s="20">
        <f t="shared" si="1"/>
        <v>6</v>
      </c>
      <c r="N19" s="42"/>
      <c r="O19" s="38"/>
      <c r="P19" s="227">
        <f t="shared" si="0"/>
        <v>0</v>
      </c>
      <c r="Q19" s="29"/>
    </row>
    <row r="20" spans="1:20" ht="17.25" customHeight="1" x14ac:dyDescent="0.3">
      <c r="A20" s="54"/>
      <c r="B20" s="55"/>
      <c r="C20" s="56"/>
      <c r="D20" s="26"/>
      <c r="E20" s="47" t="s">
        <v>38</v>
      </c>
      <c r="F20" s="26">
        <f>2%*D18</f>
        <v>2.2690000000000001</v>
      </c>
      <c r="G20" s="26">
        <f>4%*D18</f>
        <v>4.5380000000000003</v>
      </c>
      <c r="H20" s="26">
        <f t="shared" si="3"/>
        <v>6.8070000000000004</v>
      </c>
      <c r="I20" s="19">
        <v>0</v>
      </c>
      <c r="J20" s="19"/>
      <c r="K20" s="19"/>
      <c r="L20" s="19">
        <v>4</v>
      </c>
      <c r="M20" s="20">
        <f t="shared" si="1"/>
        <v>4</v>
      </c>
      <c r="N20" s="42"/>
      <c r="O20" s="38"/>
      <c r="P20" s="227">
        <f t="shared" si="0"/>
        <v>0</v>
      </c>
      <c r="Q20" s="29"/>
    </row>
    <row r="21" spans="1:20" ht="16.5" customHeight="1" x14ac:dyDescent="0.3">
      <c r="A21" s="13"/>
      <c r="B21" s="17" t="s">
        <v>60</v>
      </c>
      <c r="C21" s="15" t="s">
        <v>42</v>
      </c>
      <c r="D21" s="18">
        <v>527.28</v>
      </c>
      <c r="E21" s="47" t="s">
        <v>36</v>
      </c>
      <c r="F21" s="26">
        <f>25%*D18</f>
        <v>28.362500000000001</v>
      </c>
      <c r="G21" s="26">
        <f>2%*D21</f>
        <v>10.5456</v>
      </c>
      <c r="H21" s="26">
        <f>SUM(F21:G21)</f>
        <v>38.908100000000005</v>
      </c>
      <c r="I21" s="19">
        <v>0</v>
      </c>
      <c r="J21" s="19"/>
      <c r="K21" s="19"/>
      <c r="L21" s="19">
        <v>5</v>
      </c>
      <c r="M21" s="20">
        <f t="shared" si="1"/>
        <v>5</v>
      </c>
      <c r="N21" s="35"/>
      <c r="O21" s="36"/>
      <c r="P21" s="227">
        <f t="shared" si="0"/>
        <v>0</v>
      </c>
      <c r="Q21" s="29"/>
    </row>
    <row r="22" spans="1:20" ht="18.75" customHeight="1" x14ac:dyDescent="0.3">
      <c r="A22" s="13"/>
      <c r="B22" s="14"/>
      <c r="C22" s="15"/>
      <c r="D22" s="26"/>
      <c r="E22" s="47" t="s">
        <v>37</v>
      </c>
      <c r="F22" s="26">
        <f>25%*D21</f>
        <v>131.82</v>
      </c>
      <c r="G22" s="26">
        <f>1%*D21</f>
        <v>5.2728000000000002</v>
      </c>
      <c r="H22" s="26">
        <f t="shared" ref="H22:H23" si="4">SUM(F22:G22)</f>
        <v>137.09279999999998</v>
      </c>
      <c r="I22" s="19">
        <v>0</v>
      </c>
      <c r="J22" s="19"/>
      <c r="K22" s="19"/>
      <c r="L22" s="19">
        <v>5</v>
      </c>
      <c r="M22" s="20">
        <f t="shared" si="1"/>
        <v>5</v>
      </c>
      <c r="N22" s="35"/>
      <c r="O22" s="36"/>
      <c r="P22" s="227">
        <f t="shared" si="0"/>
        <v>0</v>
      </c>
      <c r="Q22" s="29"/>
    </row>
    <row r="23" spans="1:20" ht="18" customHeight="1" x14ac:dyDescent="0.3">
      <c r="A23" s="13"/>
      <c r="B23" s="14"/>
      <c r="C23" s="15"/>
      <c r="D23" s="26"/>
      <c r="E23" s="47" t="s">
        <v>38</v>
      </c>
      <c r="F23" s="26">
        <f>3%*D21</f>
        <v>15.818399999999999</v>
      </c>
      <c r="G23" s="26">
        <f>5%*D21</f>
        <v>26.364000000000001</v>
      </c>
      <c r="H23" s="26">
        <f t="shared" si="4"/>
        <v>42.182400000000001</v>
      </c>
      <c r="I23" s="19">
        <v>0</v>
      </c>
      <c r="J23" s="19"/>
      <c r="K23" s="19"/>
      <c r="L23" s="19">
        <v>3</v>
      </c>
      <c r="M23" s="20">
        <f t="shared" si="1"/>
        <v>3</v>
      </c>
      <c r="N23" s="80"/>
      <c r="O23" s="81"/>
      <c r="P23" s="227">
        <f t="shared" si="0"/>
        <v>0</v>
      </c>
      <c r="Q23" s="88"/>
    </row>
    <row r="24" spans="1:20" ht="18.75" customHeight="1" x14ac:dyDescent="0.3">
      <c r="A24" s="89"/>
      <c r="B24" s="402" t="s">
        <v>325</v>
      </c>
      <c r="C24" s="403"/>
      <c r="D24" s="73">
        <f>SUM(D9:D17)</f>
        <v>1286.8800000000001</v>
      </c>
      <c r="E24" s="74"/>
      <c r="F24" s="118">
        <f>SUM(F9:F17)</f>
        <v>180.1962</v>
      </c>
      <c r="G24" s="118">
        <f>SUM(G9:G17)</f>
        <v>101.62722000000002</v>
      </c>
      <c r="H24" s="118">
        <f>SUM(H9:H17)</f>
        <v>281.82342</v>
      </c>
      <c r="I24" s="75">
        <f>SUM(I9:I17)</f>
        <v>0</v>
      </c>
      <c r="J24" s="75">
        <f>SUM(J9:J17)</f>
        <v>0</v>
      </c>
      <c r="K24" s="75">
        <f>SUM(K8:K23)</f>
        <v>0</v>
      </c>
      <c r="L24" s="160">
        <f>SUM(L10:L23)</f>
        <v>64</v>
      </c>
      <c r="M24" s="160">
        <f>SUM(M10:M23)</f>
        <v>64</v>
      </c>
      <c r="N24" s="76"/>
      <c r="O24" s="77"/>
      <c r="P24" s="229">
        <f>SUM(P10:P23)</f>
        <v>0</v>
      </c>
      <c r="Q24" s="75"/>
    </row>
    <row r="25" spans="1:20" ht="17.25" customHeight="1" x14ac:dyDescent="0.3">
      <c r="A25" s="63">
        <v>2</v>
      </c>
      <c r="B25" s="64" t="s">
        <v>23</v>
      </c>
      <c r="C25" s="65"/>
      <c r="D25" s="66"/>
      <c r="E25" s="67"/>
      <c r="F25" s="68"/>
      <c r="G25" s="68"/>
      <c r="H25" s="68"/>
      <c r="I25" s="68"/>
      <c r="J25" s="68"/>
      <c r="K25" s="68"/>
      <c r="L25" s="68"/>
      <c r="M25" s="68"/>
      <c r="N25" s="69"/>
      <c r="O25" s="70"/>
      <c r="P25" s="230"/>
      <c r="Q25" s="68"/>
      <c r="S25" s="1" t="s">
        <v>333</v>
      </c>
    </row>
    <row r="26" spans="1:20" ht="21" customHeight="1" x14ac:dyDescent="0.3">
      <c r="A26" s="13"/>
      <c r="B26" s="14" t="s">
        <v>57</v>
      </c>
      <c r="C26" s="15" t="s">
        <v>22</v>
      </c>
      <c r="D26" s="26">
        <v>203.28</v>
      </c>
      <c r="E26" s="47" t="s">
        <v>40</v>
      </c>
      <c r="F26" s="19">
        <f>6%*D26</f>
        <v>12.1968</v>
      </c>
      <c r="G26" s="224">
        <f>1%*D26</f>
        <v>2.0327999999999999</v>
      </c>
      <c r="H26" s="19">
        <f t="shared" ref="H26" si="5">SUM(F26:G26)</f>
        <v>14.2296</v>
      </c>
      <c r="I26" s="19">
        <v>0</v>
      </c>
      <c r="J26" s="19">
        <v>0</v>
      </c>
      <c r="K26" s="19">
        <v>5</v>
      </c>
      <c r="L26" s="19">
        <v>3</v>
      </c>
      <c r="M26" s="20">
        <f t="shared" ref="M26:M33" si="6">SUM(I26:L26)</f>
        <v>8</v>
      </c>
      <c r="N26" s="37" t="s">
        <v>51</v>
      </c>
      <c r="O26" s="399" t="s">
        <v>674</v>
      </c>
      <c r="P26" s="231">
        <f t="shared" ref="P26:P33" si="7">G26*0.52*20%*19000000</f>
        <v>4016812.8000000003</v>
      </c>
      <c r="Q26" s="16"/>
      <c r="S26" s="1" t="s">
        <v>659</v>
      </c>
      <c r="T26" s="1" t="s">
        <v>661</v>
      </c>
    </row>
    <row r="27" spans="1:20" ht="16.5" customHeight="1" x14ac:dyDescent="0.3">
      <c r="A27" s="54"/>
      <c r="B27" s="55"/>
      <c r="C27" s="56"/>
      <c r="D27" s="57"/>
      <c r="E27" s="47" t="s">
        <v>629</v>
      </c>
      <c r="F27" s="135">
        <f>1%*D26</f>
        <v>2.0327999999999999</v>
      </c>
      <c r="G27" s="224">
        <f>0%*D26</f>
        <v>0</v>
      </c>
      <c r="H27" s="135">
        <f t="shared" ref="H27:H30" si="8">SUM(F27:G27)</f>
        <v>2.0327999999999999</v>
      </c>
      <c r="I27" s="19"/>
      <c r="J27" s="19"/>
      <c r="K27" s="19"/>
      <c r="L27" s="19">
        <v>3</v>
      </c>
      <c r="M27" s="20">
        <f t="shared" si="6"/>
        <v>3</v>
      </c>
      <c r="N27" s="37"/>
      <c r="O27" s="401"/>
      <c r="P27" s="231">
        <f t="shared" si="7"/>
        <v>0</v>
      </c>
      <c r="Q27" s="16"/>
    </row>
    <row r="28" spans="1:20" ht="23.25" customHeight="1" x14ac:dyDescent="0.3">
      <c r="A28" s="54"/>
      <c r="B28" s="55"/>
      <c r="C28" s="56"/>
      <c r="D28" s="57"/>
      <c r="E28" s="47" t="s">
        <v>669</v>
      </c>
      <c r="F28" s="19">
        <f>1%*D26</f>
        <v>2.0327999999999999</v>
      </c>
      <c r="G28" s="224">
        <f>2%*D26</f>
        <v>4.0655999999999999</v>
      </c>
      <c r="H28" s="135">
        <f>F28+G28</f>
        <v>6.0983999999999998</v>
      </c>
      <c r="I28" s="19"/>
      <c r="J28" s="19"/>
      <c r="K28" s="19"/>
      <c r="L28" s="19"/>
      <c r="M28" s="20"/>
      <c r="N28" s="37"/>
      <c r="O28" s="401"/>
      <c r="P28" s="231">
        <f t="shared" si="7"/>
        <v>8033625.6000000006</v>
      </c>
      <c r="Q28" s="16"/>
    </row>
    <row r="29" spans="1:20" ht="24" customHeight="1" x14ac:dyDescent="0.3">
      <c r="A29" s="54"/>
      <c r="B29" s="55" t="s">
        <v>58</v>
      </c>
      <c r="C29" s="56" t="s">
        <v>42</v>
      </c>
      <c r="D29" s="57">
        <v>57</v>
      </c>
      <c r="E29" s="47" t="s">
        <v>40</v>
      </c>
      <c r="F29" s="19">
        <f>11%*D29</f>
        <v>6.2700000000000005</v>
      </c>
      <c r="G29" s="224">
        <f>1%*D29</f>
        <v>0.57000000000000006</v>
      </c>
      <c r="H29" s="135">
        <f t="shared" si="8"/>
        <v>6.8400000000000007</v>
      </c>
      <c r="I29" s="19">
        <v>0</v>
      </c>
      <c r="J29" s="19"/>
      <c r="K29" s="19">
        <v>0</v>
      </c>
      <c r="L29" s="19">
        <v>2</v>
      </c>
      <c r="M29" s="20">
        <f t="shared" si="6"/>
        <v>2</v>
      </c>
      <c r="N29" s="37"/>
      <c r="O29" s="400"/>
      <c r="P29" s="231">
        <f t="shared" si="7"/>
        <v>1126320.0000000002</v>
      </c>
      <c r="Q29" s="16"/>
      <c r="S29" s="217" t="s">
        <v>660</v>
      </c>
      <c r="T29" s="1" t="s">
        <v>334</v>
      </c>
    </row>
    <row r="30" spans="1:20" ht="21.75" customHeight="1" x14ac:dyDescent="0.3">
      <c r="A30" s="54"/>
      <c r="B30" s="55"/>
      <c r="C30" s="56"/>
      <c r="D30" s="57"/>
      <c r="E30" s="47" t="s">
        <v>669</v>
      </c>
      <c r="F30" s="79">
        <f>1%*D29</f>
        <v>0.57000000000000006</v>
      </c>
      <c r="G30" s="224">
        <f>4%*D29</f>
        <v>2.2800000000000002</v>
      </c>
      <c r="H30" s="135">
        <f t="shared" si="8"/>
        <v>2.8500000000000005</v>
      </c>
      <c r="I30" s="19"/>
      <c r="J30" s="19"/>
      <c r="K30" s="19"/>
      <c r="L30" s="19"/>
      <c r="M30" s="20"/>
      <c r="N30" s="37"/>
      <c r="O30" s="259"/>
      <c r="P30" s="231">
        <f t="shared" si="7"/>
        <v>4505280.0000000009</v>
      </c>
      <c r="Q30" s="16"/>
      <c r="S30" s="217"/>
    </row>
    <row r="31" spans="1:20" ht="21" customHeight="1" x14ac:dyDescent="0.3">
      <c r="A31" s="13"/>
      <c r="B31" s="14"/>
      <c r="C31" s="15"/>
      <c r="D31" s="26"/>
      <c r="E31" s="258" t="s">
        <v>670</v>
      </c>
      <c r="F31" s="135">
        <f>1%*D29</f>
        <v>0.57000000000000006</v>
      </c>
      <c r="G31" s="135">
        <f>2%*D29</f>
        <v>1.1400000000000001</v>
      </c>
      <c r="H31" s="135">
        <f>F31+G31</f>
        <v>1.7100000000000002</v>
      </c>
      <c r="I31" s="19">
        <v>0</v>
      </c>
      <c r="J31" s="19"/>
      <c r="K31" s="19"/>
      <c r="L31" s="19">
        <v>1</v>
      </c>
      <c r="M31" s="20">
        <f t="shared" si="6"/>
        <v>1</v>
      </c>
      <c r="N31" s="37"/>
      <c r="O31" s="259"/>
      <c r="P31" s="231">
        <f t="shared" si="7"/>
        <v>2252640.0000000005</v>
      </c>
      <c r="Q31" s="16"/>
    </row>
    <row r="32" spans="1:20" ht="17.25" customHeight="1" x14ac:dyDescent="0.3">
      <c r="A32" s="54"/>
      <c r="B32" s="55" t="s">
        <v>59</v>
      </c>
      <c r="C32" s="56" t="s">
        <v>21</v>
      </c>
      <c r="D32" s="57">
        <v>72.94</v>
      </c>
      <c r="E32" s="47" t="s">
        <v>40</v>
      </c>
      <c r="F32" s="19">
        <f>4%*D32</f>
        <v>2.9175999999999997</v>
      </c>
      <c r="G32" s="224">
        <f>1.5%*D32</f>
        <v>1.0940999999999999</v>
      </c>
      <c r="H32" s="135">
        <f>F32+G32</f>
        <v>4.0116999999999994</v>
      </c>
      <c r="I32" s="19">
        <v>0</v>
      </c>
      <c r="J32" s="19">
        <v>0</v>
      </c>
      <c r="K32" s="19">
        <v>0</v>
      </c>
      <c r="L32" s="19">
        <v>3</v>
      </c>
      <c r="M32" s="20">
        <f t="shared" si="6"/>
        <v>3</v>
      </c>
      <c r="N32" s="95"/>
      <c r="O32" s="260"/>
      <c r="P32" s="231">
        <f t="shared" si="7"/>
        <v>2161941.6</v>
      </c>
      <c r="Q32" s="87"/>
    </row>
    <row r="33" spans="1:20" ht="16.5" customHeight="1" x14ac:dyDescent="0.3">
      <c r="A33" s="54"/>
      <c r="B33" s="55"/>
      <c r="C33" s="56"/>
      <c r="D33" s="57"/>
      <c r="E33" s="47" t="s">
        <v>669</v>
      </c>
      <c r="F33" s="19">
        <f>4%*D32</f>
        <v>2.9175999999999997</v>
      </c>
      <c r="G33" s="224">
        <f>3%*D32</f>
        <v>2.1881999999999997</v>
      </c>
      <c r="H33" s="135">
        <f>F33+G33</f>
        <v>5.1057999999999995</v>
      </c>
      <c r="I33" s="19">
        <v>0</v>
      </c>
      <c r="J33" s="19">
        <v>0</v>
      </c>
      <c r="K33" s="19">
        <v>0</v>
      </c>
      <c r="L33" s="19">
        <v>3</v>
      </c>
      <c r="M33" s="20">
        <f t="shared" si="6"/>
        <v>3</v>
      </c>
      <c r="N33" s="95"/>
      <c r="O33" s="260"/>
      <c r="P33" s="231">
        <f t="shared" si="7"/>
        <v>4323883.2</v>
      </c>
      <c r="Q33" s="87"/>
    </row>
    <row r="34" spans="1:20" ht="18" customHeight="1" x14ac:dyDescent="0.3">
      <c r="A34" s="89"/>
      <c r="B34" s="415" t="s">
        <v>326</v>
      </c>
      <c r="C34" s="416"/>
      <c r="D34" s="138">
        <f>SUM(D25:D33)</f>
        <v>333.21999999999997</v>
      </c>
      <c r="E34" s="242"/>
      <c r="F34" s="140">
        <f t="shared" ref="F34:K34" si="9">SUM(F25:F33)</f>
        <v>29.5076</v>
      </c>
      <c r="G34" s="140">
        <f t="shared" si="9"/>
        <v>13.370699999999999</v>
      </c>
      <c r="H34" s="140">
        <f t="shared" si="9"/>
        <v>42.878299999999996</v>
      </c>
      <c r="I34" s="140">
        <f t="shared" si="9"/>
        <v>0</v>
      </c>
      <c r="J34" s="140">
        <f t="shared" si="9"/>
        <v>0</v>
      </c>
      <c r="K34" s="140">
        <f t="shared" si="9"/>
        <v>5</v>
      </c>
      <c r="L34" s="140">
        <f>SUM(L26:L33)</f>
        <v>15</v>
      </c>
      <c r="M34" s="140">
        <f>SUM(M25:M33)</f>
        <v>20</v>
      </c>
      <c r="N34" s="243"/>
      <c r="O34" s="244"/>
      <c r="P34" s="245">
        <f>SUM(P25:P33)</f>
        <v>26420503.200000003</v>
      </c>
      <c r="Q34" s="246"/>
    </row>
    <row r="35" spans="1:20" ht="14.25" customHeight="1" x14ac:dyDescent="0.3">
      <c r="A35" s="63">
        <v>3</v>
      </c>
      <c r="B35" s="64" t="s">
        <v>19</v>
      </c>
      <c r="C35" s="65"/>
      <c r="D35" s="66"/>
      <c r="E35" s="67"/>
      <c r="F35" s="82"/>
      <c r="G35" s="82"/>
      <c r="H35" s="82"/>
      <c r="I35" s="82"/>
      <c r="J35" s="82"/>
      <c r="K35" s="82"/>
      <c r="L35" s="82"/>
      <c r="M35" s="82"/>
      <c r="N35" s="69"/>
      <c r="O35" s="112"/>
      <c r="P35" s="233"/>
      <c r="Q35" s="68"/>
    </row>
    <row r="36" spans="1:20" ht="16.5" customHeight="1" x14ac:dyDescent="0.3">
      <c r="A36" s="13"/>
      <c r="B36" s="14" t="s">
        <v>57</v>
      </c>
      <c r="C36" s="15" t="s">
        <v>24</v>
      </c>
      <c r="D36" s="26">
        <f>1347+481.9+4</f>
        <v>1832.9</v>
      </c>
      <c r="E36" s="50" t="s">
        <v>52</v>
      </c>
      <c r="F36" s="19">
        <f>5%*D36</f>
        <v>91.64500000000001</v>
      </c>
      <c r="G36" s="26">
        <f>40%*D36</f>
        <v>733.16000000000008</v>
      </c>
      <c r="H36" s="26">
        <f>SUM(F36:G36)</f>
        <v>824.80500000000006</v>
      </c>
      <c r="I36" s="19">
        <v>0</v>
      </c>
      <c r="J36" s="19"/>
      <c r="K36" s="19">
        <v>5</v>
      </c>
      <c r="L36" s="19">
        <v>6</v>
      </c>
      <c r="M36" s="19">
        <f>SUM(I36:L36)</f>
        <v>11</v>
      </c>
      <c r="N36" s="35">
        <v>1</v>
      </c>
      <c r="O36" s="401" t="s">
        <v>677</v>
      </c>
      <c r="P36" s="234">
        <f t="shared" ref="P36:P65" si="10">G36*0.815*26%*3500000</f>
        <v>543748114</v>
      </c>
      <c r="Q36" s="16"/>
    </row>
    <row r="37" spans="1:20" ht="15" customHeight="1" x14ac:dyDescent="0.3">
      <c r="A37" s="13"/>
      <c r="B37" s="14"/>
      <c r="C37" s="15"/>
      <c r="D37" s="26"/>
      <c r="E37" s="47" t="s">
        <v>624</v>
      </c>
      <c r="F37" s="19">
        <f>6%*D36</f>
        <v>109.974</v>
      </c>
      <c r="G37" s="26">
        <f>3%*D36</f>
        <v>54.987000000000002</v>
      </c>
      <c r="H37" s="26">
        <f>F37+G37</f>
        <v>164.96100000000001</v>
      </c>
      <c r="I37" s="19">
        <v>0</v>
      </c>
      <c r="J37" s="19"/>
      <c r="K37" s="19">
        <v>0</v>
      </c>
      <c r="L37" s="19">
        <v>8</v>
      </c>
      <c r="M37" s="19">
        <f>SUM(I37:L37)</f>
        <v>8</v>
      </c>
      <c r="N37" s="35"/>
      <c r="O37" s="401"/>
      <c r="P37" s="234">
        <f t="shared" si="10"/>
        <v>40781108.549999997</v>
      </c>
      <c r="Q37" s="16"/>
    </row>
    <row r="38" spans="1:20" ht="16.5" customHeight="1" x14ac:dyDescent="0.3">
      <c r="A38" s="13"/>
      <c r="B38" s="14" t="s">
        <v>58</v>
      </c>
      <c r="C38" s="15" t="s">
        <v>25</v>
      </c>
      <c r="D38" s="26">
        <f>1378+343.2+4</f>
        <v>1725.2</v>
      </c>
      <c r="E38" s="50" t="s">
        <v>52</v>
      </c>
      <c r="F38" s="19">
        <f>7%*D38</f>
        <v>120.76400000000001</v>
      </c>
      <c r="G38" s="26">
        <f>15%*D38</f>
        <v>258.77999999999997</v>
      </c>
      <c r="H38" s="26">
        <f t="shared" ref="H38:H65" si="11">SUM(F38:G38)</f>
        <v>379.54399999999998</v>
      </c>
      <c r="I38" s="19">
        <v>0</v>
      </c>
      <c r="J38" s="19"/>
      <c r="K38" s="19">
        <v>0</v>
      </c>
      <c r="L38" s="19">
        <v>5</v>
      </c>
      <c r="M38" s="19">
        <f t="shared" ref="M38:M65" si="12">SUM(I38:L38)</f>
        <v>5</v>
      </c>
      <c r="N38" s="35"/>
      <c r="O38" s="401"/>
      <c r="P38" s="234">
        <f t="shared" si="10"/>
        <v>191924186.99999997</v>
      </c>
      <c r="Q38" s="16"/>
    </row>
    <row r="39" spans="1:20" ht="16.5" customHeight="1" x14ac:dyDescent="0.3">
      <c r="A39" s="13"/>
      <c r="B39" s="14" t="s">
        <v>59</v>
      </c>
      <c r="C39" s="15" t="s">
        <v>26</v>
      </c>
      <c r="D39" s="26">
        <f>1032+337+10</f>
        <v>1379</v>
      </c>
      <c r="E39" s="50" t="s">
        <v>52</v>
      </c>
      <c r="F39" s="19">
        <f>3%*D39</f>
        <v>41.37</v>
      </c>
      <c r="G39" s="26">
        <f>31%*D39</f>
        <v>427.49</v>
      </c>
      <c r="H39" s="26">
        <f t="shared" si="11"/>
        <v>468.86</v>
      </c>
      <c r="I39" s="19"/>
      <c r="J39" s="19"/>
      <c r="K39" s="19"/>
      <c r="L39" s="19">
        <v>3</v>
      </c>
      <c r="M39" s="19">
        <f t="shared" si="12"/>
        <v>3</v>
      </c>
      <c r="N39" s="35"/>
      <c r="O39" s="401"/>
      <c r="P39" s="234">
        <f t="shared" si="10"/>
        <v>317047958.49999994</v>
      </c>
      <c r="Q39" s="16"/>
      <c r="T39" s="1">
        <f>1379/16</f>
        <v>86.1875</v>
      </c>
    </row>
    <row r="40" spans="1:20" ht="16.5" customHeight="1" x14ac:dyDescent="0.3">
      <c r="A40" s="13"/>
      <c r="B40" s="14"/>
      <c r="C40" s="15"/>
      <c r="D40" s="26"/>
      <c r="E40" s="47" t="s">
        <v>624</v>
      </c>
      <c r="F40" s="19">
        <f>4%*D39</f>
        <v>55.160000000000004</v>
      </c>
      <c r="G40" s="26">
        <f>1%*D39</f>
        <v>13.790000000000001</v>
      </c>
      <c r="H40" s="26">
        <f>F40+G40</f>
        <v>68.95</v>
      </c>
      <c r="I40" s="19">
        <v>0</v>
      </c>
      <c r="J40" s="19"/>
      <c r="K40" s="19"/>
      <c r="L40" s="19">
        <v>4</v>
      </c>
      <c r="M40" s="19">
        <f>SUM(I40:L40)</f>
        <v>4</v>
      </c>
      <c r="N40" s="35"/>
      <c r="O40" s="401"/>
      <c r="P40" s="234">
        <f t="shared" si="10"/>
        <v>10227353.5</v>
      </c>
      <c r="Q40" s="16"/>
    </row>
    <row r="41" spans="1:20" ht="15" customHeight="1" x14ac:dyDescent="0.3">
      <c r="A41" s="13"/>
      <c r="B41" s="14" t="s">
        <v>60</v>
      </c>
      <c r="C41" s="15" t="s">
        <v>55</v>
      </c>
      <c r="D41" s="26">
        <f>312.6+146.93</f>
        <v>459.53000000000003</v>
      </c>
      <c r="E41" s="50" t="s">
        <v>52</v>
      </c>
      <c r="F41" s="19">
        <f>5%*D41</f>
        <v>22.976500000000001</v>
      </c>
      <c r="G41" s="26">
        <f>10%*D41</f>
        <v>45.953000000000003</v>
      </c>
      <c r="H41" s="26">
        <f t="shared" si="11"/>
        <v>68.929500000000004</v>
      </c>
      <c r="I41" s="19">
        <v>0</v>
      </c>
      <c r="J41" s="19">
        <v>0</v>
      </c>
      <c r="K41" s="19">
        <v>0</v>
      </c>
      <c r="L41" s="19">
        <v>5</v>
      </c>
      <c r="M41" s="19">
        <f t="shared" si="12"/>
        <v>5</v>
      </c>
      <c r="N41" s="35"/>
      <c r="O41" s="401"/>
      <c r="P41" s="234">
        <f t="shared" si="10"/>
        <v>34081042.450000003</v>
      </c>
      <c r="Q41" s="16"/>
    </row>
    <row r="42" spans="1:20" ht="16.5" customHeight="1" x14ac:dyDescent="0.3">
      <c r="A42" s="13"/>
      <c r="B42" s="14"/>
      <c r="C42" s="15"/>
      <c r="D42" s="26"/>
      <c r="E42" s="47" t="s">
        <v>235</v>
      </c>
      <c r="F42" s="26">
        <f>7%*D41</f>
        <v>32.167100000000005</v>
      </c>
      <c r="G42" s="26">
        <f>15%*D41</f>
        <v>68.929500000000004</v>
      </c>
      <c r="H42" s="26">
        <f>SUM(F42:G42)</f>
        <v>101.09660000000001</v>
      </c>
      <c r="I42" s="19"/>
      <c r="J42" s="19"/>
      <c r="K42" s="19"/>
      <c r="L42" s="19">
        <v>5</v>
      </c>
      <c r="M42" s="19">
        <f>SUM(I42:L42)</f>
        <v>5</v>
      </c>
      <c r="N42" s="35"/>
      <c r="O42" s="400"/>
      <c r="P42" s="234">
        <f t="shared" si="10"/>
        <v>51121563.675000004</v>
      </c>
      <c r="Q42" s="16"/>
    </row>
    <row r="43" spans="1:20" ht="15" customHeight="1" x14ac:dyDescent="0.3">
      <c r="A43" s="13"/>
      <c r="B43" s="14" t="s">
        <v>61</v>
      </c>
      <c r="C43" s="15" t="s">
        <v>27</v>
      </c>
      <c r="D43" s="26">
        <f>650.7+162.25</f>
        <v>812.95</v>
      </c>
      <c r="E43" s="50" t="s">
        <v>52</v>
      </c>
      <c r="F43" s="19">
        <f>8%*D43</f>
        <v>65.036000000000001</v>
      </c>
      <c r="G43" s="26">
        <f>20%*D43</f>
        <v>162.59000000000003</v>
      </c>
      <c r="H43" s="26">
        <f t="shared" si="11"/>
        <v>227.62600000000003</v>
      </c>
      <c r="I43" s="19">
        <v>0</v>
      </c>
      <c r="J43" s="19">
        <v>0</v>
      </c>
      <c r="K43" s="19">
        <v>0</v>
      </c>
      <c r="L43" s="19">
        <v>6</v>
      </c>
      <c r="M43" s="19">
        <f t="shared" si="12"/>
        <v>6</v>
      </c>
      <c r="N43" s="35"/>
      <c r="O43" s="36"/>
      <c r="P43" s="234">
        <f t="shared" si="10"/>
        <v>120584873.5</v>
      </c>
      <c r="Q43" s="16"/>
    </row>
    <row r="44" spans="1:20" ht="16.5" customHeight="1" x14ac:dyDescent="0.3">
      <c r="A44" s="13"/>
      <c r="B44" s="14" t="s">
        <v>62</v>
      </c>
      <c r="C44" s="15" t="s">
        <v>28</v>
      </c>
      <c r="D44" s="26">
        <f>876+634.6+5</f>
        <v>1515.6</v>
      </c>
      <c r="E44" s="50" t="s">
        <v>52</v>
      </c>
      <c r="F44" s="19">
        <f>7%*D44</f>
        <v>106.092</v>
      </c>
      <c r="G44" s="26">
        <f>10%*D44</f>
        <v>151.56</v>
      </c>
      <c r="H44" s="26">
        <f t="shared" si="11"/>
        <v>257.65199999999999</v>
      </c>
      <c r="I44" s="19">
        <v>0</v>
      </c>
      <c r="J44" s="19">
        <v>0</v>
      </c>
      <c r="K44" s="19"/>
      <c r="L44" s="19">
        <v>6</v>
      </c>
      <c r="M44" s="19">
        <f t="shared" si="12"/>
        <v>6</v>
      </c>
      <c r="N44" s="35">
        <v>2</v>
      </c>
      <c r="O44" s="399" t="s">
        <v>643</v>
      </c>
      <c r="P44" s="234">
        <f t="shared" si="10"/>
        <v>112404474</v>
      </c>
      <c r="Q44" s="16"/>
    </row>
    <row r="45" spans="1:20" ht="16.5" customHeight="1" x14ac:dyDescent="0.3">
      <c r="A45" s="13"/>
      <c r="B45" s="14" t="s">
        <v>63</v>
      </c>
      <c r="C45" s="15" t="s">
        <v>29</v>
      </c>
      <c r="D45" s="26">
        <f>1576+278.5</f>
        <v>1854.5</v>
      </c>
      <c r="E45" s="50" t="s">
        <v>52</v>
      </c>
      <c r="F45" s="19">
        <f>3%*D45</f>
        <v>55.634999999999998</v>
      </c>
      <c r="G45" s="26">
        <f>15%*D45</f>
        <v>278.17500000000001</v>
      </c>
      <c r="H45" s="26">
        <f t="shared" si="11"/>
        <v>333.81</v>
      </c>
      <c r="I45" s="19">
        <v>0</v>
      </c>
      <c r="J45" s="19">
        <v>0</v>
      </c>
      <c r="K45" s="19"/>
      <c r="L45" s="19">
        <v>7</v>
      </c>
      <c r="M45" s="19">
        <f t="shared" si="12"/>
        <v>7</v>
      </c>
      <c r="N45" s="35"/>
      <c r="O45" s="401"/>
      <c r="P45" s="234">
        <f t="shared" si="10"/>
        <v>206308488.75000003</v>
      </c>
      <c r="Q45" s="16"/>
    </row>
    <row r="46" spans="1:20" ht="13.5" customHeight="1" x14ac:dyDescent="0.3">
      <c r="A46" s="13"/>
      <c r="B46" s="14"/>
      <c r="C46" s="15"/>
      <c r="D46" s="26"/>
      <c r="E46" s="47" t="s">
        <v>234</v>
      </c>
      <c r="F46" s="19">
        <f>8%*D45</f>
        <v>148.36000000000001</v>
      </c>
      <c r="G46" s="26">
        <f>10%*D44</f>
        <v>151.56</v>
      </c>
      <c r="H46" s="26">
        <f>F46+G46</f>
        <v>299.92</v>
      </c>
      <c r="I46" s="19"/>
      <c r="J46" s="19">
        <v>0</v>
      </c>
      <c r="K46" s="19">
        <v>0</v>
      </c>
      <c r="L46" s="19">
        <v>5</v>
      </c>
      <c r="M46" s="19">
        <f t="shared" ref="M46" si="13">SUM(I46:L46)</f>
        <v>5</v>
      </c>
      <c r="N46" s="35"/>
      <c r="O46" s="401"/>
      <c r="P46" s="234">
        <f t="shared" si="10"/>
        <v>112404474</v>
      </c>
      <c r="Q46" s="16"/>
    </row>
    <row r="47" spans="1:20" ht="16.5" customHeight="1" x14ac:dyDescent="0.3">
      <c r="A47" s="13"/>
      <c r="B47" s="14" t="s">
        <v>64</v>
      </c>
      <c r="C47" s="15" t="s">
        <v>56</v>
      </c>
      <c r="D47" s="26">
        <f>274.6+53.7+42</f>
        <v>370.3</v>
      </c>
      <c r="E47" s="50" t="s">
        <v>52</v>
      </c>
      <c r="F47" s="19">
        <f>7%*D47</f>
        <v>25.921000000000003</v>
      </c>
      <c r="G47" s="26">
        <f>15%*D47</f>
        <v>55.545000000000002</v>
      </c>
      <c r="H47" s="26">
        <f t="shared" si="11"/>
        <v>81.466000000000008</v>
      </c>
      <c r="I47" s="19">
        <v>0</v>
      </c>
      <c r="J47" s="19"/>
      <c r="K47" s="19"/>
      <c r="L47" s="19">
        <v>0</v>
      </c>
      <c r="M47" s="19">
        <f t="shared" si="12"/>
        <v>0</v>
      </c>
      <c r="N47" s="35"/>
      <c r="O47" s="401"/>
      <c r="P47" s="234">
        <f t="shared" si="10"/>
        <v>41194949.249999993</v>
      </c>
      <c r="Q47" s="16"/>
    </row>
    <row r="48" spans="1:20" ht="18" customHeight="1" x14ac:dyDescent="0.3">
      <c r="A48" s="13"/>
      <c r="B48" s="14" t="s">
        <v>65</v>
      </c>
      <c r="C48" s="15" t="s">
        <v>30</v>
      </c>
      <c r="D48" s="26">
        <f>1500.5+566.7</f>
        <v>2067.1999999999998</v>
      </c>
      <c r="E48" s="50" t="s">
        <v>52</v>
      </c>
      <c r="F48" s="19">
        <f>5%*D48</f>
        <v>103.36</v>
      </c>
      <c r="G48" s="26">
        <f>10%*D48</f>
        <v>206.72</v>
      </c>
      <c r="H48" s="26">
        <f t="shared" si="11"/>
        <v>310.08</v>
      </c>
      <c r="I48" s="19">
        <v>0</v>
      </c>
      <c r="J48" s="19">
        <v>0</v>
      </c>
      <c r="K48" s="19">
        <v>0</v>
      </c>
      <c r="L48" s="19">
        <v>5</v>
      </c>
      <c r="M48" s="19">
        <f t="shared" si="12"/>
        <v>5</v>
      </c>
      <c r="N48" s="35"/>
      <c r="O48" s="401"/>
      <c r="P48" s="234">
        <f t="shared" si="10"/>
        <v>153313888</v>
      </c>
      <c r="Q48" s="16"/>
    </row>
    <row r="49" spans="1:17" ht="18" customHeight="1" x14ac:dyDescent="0.3">
      <c r="A49" s="13"/>
      <c r="B49" s="14"/>
      <c r="C49" s="15"/>
      <c r="D49" s="26"/>
      <c r="E49" s="47" t="s">
        <v>624</v>
      </c>
      <c r="F49" s="19">
        <f>10%*D48</f>
        <v>206.72</v>
      </c>
      <c r="G49" s="26">
        <f>10%*D48</f>
        <v>206.72</v>
      </c>
      <c r="H49" s="26">
        <f>F49+G49</f>
        <v>413.44</v>
      </c>
      <c r="I49" s="19">
        <v>0</v>
      </c>
      <c r="J49" s="19"/>
      <c r="K49" s="19"/>
      <c r="L49" s="19">
        <v>3</v>
      </c>
      <c r="M49" s="19">
        <f>SUM(I49:L49)</f>
        <v>3</v>
      </c>
      <c r="N49" s="35"/>
      <c r="O49" s="401"/>
      <c r="P49" s="234">
        <f t="shared" si="10"/>
        <v>153313888</v>
      </c>
      <c r="Q49" s="16"/>
    </row>
    <row r="50" spans="1:17" ht="18.75" customHeight="1" x14ac:dyDescent="0.3">
      <c r="A50" s="13"/>
      <c r="B50" s="14" t="s">
        <v>66</v>
      </c>
      <c r="C50" s="15" t="s">
        <v>31</v>
      </c>
      <c r="D50" s="26">
        <f>1214.5+386.5</f>
        <v>1601</v>
      </c>
      <c r="E50" s="50" t="s">
        <v>52</v>
      </c>
      <c r="F50" s="19">
        <f>6%*D50</f>
        <v>96.06</v>
      </c>
      <c r="G50" s="26">
        <f>9%*D50</f>
        <v>144.09</v>
      </c>
      <c r="H50" s="26">
        <f t="shared" si="11"/>
        <v>240.15</v>
      </c>
      <c r="I50" s="19">
        <v>0</v>
      </c>
      <c r="J50" s="19">
        <v>0</v>
      </c>
      <c r="K50" s="19">
        <v>0</v>
      </c>
      <c r="L50" s="19">
        <v>0</v>
      </c>
      <c r="M50" s="19">
        <f t="shared" si="12"/>
        <v>0</v>
      </c>
      <c r="N50" s="35"/>
      <c r="O50" s="401"/>
      <c r="P50" s="234">
        <f t="shared" si="10"/>
        <v>106864348.49999999</v>
      </c>
      <c r="Q50" s="16"/>
    </row>
    <row r="51" spans="1:17" ht="16.5" customHeight="1" x14ac:dyDescent="0.3">
      <c r="A51" s="13"/>
      <c r="B51" s="14" t="s">
        <v>67</v>
      </c>
      <c r="C51" s="15" t="s">
        <v>32</v>
      </c>
      <c r="D51" s="26">
        <f>998.9+79.5</f>
        <v>1078.4000000000001</v>
      </c>
      <c r="E51" s="50" t="s">
        <v>52</v>
      </c>
      <c r="F51" s="19">
        <f>8%*D51</f>
        <v>86.272000000000006</v>
      </c>
      <c r="G51" s="26">
        <f>10%*D51</f>
        <v>107.84000000000002</v>
      </c>
      <c r="H51" s="26">
        <f t="shared" si="11"/>
        <v>194.11200000000002</v>
      </c>
      <c r="I51" s="19">
        <v>0</v>
      </c>
      <c r="J51" s="19">
        <v>0</v>
      </c>
      <c r="K51" s="19">
        <v>0</v>
      </c>
      <c r="L51" s="19">
        <v>0</v>
      </c>
      <c r="M51" s="19">
        <f t="shared" si="12"/>
        <v>0</v>
      </c>
      <c r="N51" s="35"/>
      <c r="O51" s="401"/>
      <c r="P51" s="234">
        <f t="shared" si="10"/>
        <v>79979536.000000015</v>
      </c>
      <c r="Q51" s="16"/>
    </row>
    <row r="52" spans="1:17" ht="18.75" customHeight="1" x14ac:dyDescent="0.3">
      <c r="A52" s="13"/>
      <c r="B52" s="14" t="s">
        <v>68</v>
      </c>
      <c r="C52" s="15" t="s">
        <v>33</v>
      </c>
      <c r="D52" s="26">
        <f>1314+57.5</f>
        <v>1371.5</v>
      </c>
      <c r="E52" s="50" t="s">
        <v>52</v>
      </c>
      <c r="F52" s="19">
        <f>10%*D52</f>
        <v>137.15</v>
      </c>
      <c r="G52" s="26">
        <f>11%*D52</f>
        <v>150.86500000000001</v>
      </c>
      <c r="H52" s="26">
        <f t="shared" si="11"/>
        <v>288.01499999999999</v>
      </c>
      <c r="I52" s="19">
        <v>0</v>
      </c>
      <c r="J52" s="19"/>
      <c r="K52" s="19">
        <v>0</v>
      </c>
      <c r="L52" s="19">
        <v>0</v>
      </c>
      <c r="M52" s="19">
        <f t="shared" si="12"/>
        <v>0</v>
      </c>
      <c r="N52" s="35"/>
      <c r="O52" s="401"/>
      <c r="P52" s="234">
        <f t="shared" si="10"/>
        <v>111889027.25</v>
      </c>
      <c r="Q52" s="16"/>
    </row>
    <row r="53" spans="1:17" ht="16.5" customHeight="1" x14ac:dyDescent="0.3">
      <c r="A53" s="13"/>
      <c r="B53" s="14" t="s">
        <v>69</v>
      </c>
      <c r="C53" s="15" t="s">
        <v>34</v>
      </c>
      <c r="D53" s="26">
        <f>1892.1+376</f>
        <v>2268.1</v>
      </c>
      <c r="E53" s="50" t="s">
        <v>52</v>
      </c>
      <c r="F53" s="19">
        <f>4%*D53</f>
        <v>90.724000000000004</v>
      </c>
      <c r="G53" s="26">
        <f>25%*D53</f>
        <v>567.02499999999998</v>
      </c>
      <c r="H53" s="26">
        <f t="shared" si="11"/>
        <v>657.74900000000002</v>
      </c>
      <c r="I53" s="19">
        <v>0</v>
      </c>
      <c r="J53" s="19"/>
      <c r="K53" s="19"/>
      <c r="L53" s="19">
        <v>5</v>
      </c>
      <c r="M53" s="19">
        <f t="shared" si="12"/>
        <v>5</v>
      </c>
      <c r="N53" s="35"/>
      <c r="O53" s="401"/>
      <c r="P53" s="234">
        <f t="shared" si="10"/>
        <v>420534091.25</v>
      </c>
      <c r="Q53" s="16"/>
    </row>
    <row r="54" spans="1:17" ht="16.5" customHeight="1" x14ac:dyDescent="0.3">
      <c r="A54" s="13"/>
      <c r="B54" s="14" t="s">
        <v>70</v>
      </c>
      <c r="C54" s="15" t="s">
        <v>35</v>
      </c>
      <c r="D54" s="26">
        <f>1558+185.25</f>
        <v>1743.25</v>
      </c>
      <c r="E54" s="50" t="s">
        <v>52</v>
      </c>
      <c r="F54" s="19">
        <f>4%*D54</f>
        <v>69.73</v>
      </c>
      <c r="G54" s="26">
        <f>15%*D54</f>
        <v>261.48750000000001</v>
      </c>
      <c r="H54" s="26">
        <f t="shared" si="11"/>
        <v>331.21750000000003</v>
      </c>
      <c r="I54" s="19">
        <v>0</v>
      </c>
      <c r="J54" s="19">
        <v>0</v>
      </c>
      <c r="K54" s="19">
        <v>0</v>
      </c>
      <c r="L54" s="19">
        <v>0</v>
      </c>
      <c r="M54" s="19">
        <f t="shared" si="12"/>
        <v>0</v>
      </c>
      <c r="N54" s="35"/>
      <c r="O54" s="401"/>
      <c r="P54" s="234">
        <f t="shared" si="10"/>
        <v>193932204.375</v>
      </c>
      <c r="Q54" s="16"/>
    </row>
    <row r="55" spans="1:17" ht="17.25" customHeight="1" x14ac:dyDescent="0.3">
      <c r="A55" s="13"/>
      <c r="B55" s="14" t="s">
        <v>71</v>
      </c>
      <c r="C55" s="15" t="s">
        <v>21</v>
      </c>
      <c r="D55" s="26">
        <f>1972+130</f>
        <v>2102</v>
      </c>
      <c r="E55" s="50" t="s">
        <v>52</v>
      </c>
      <c r="F55" s="19">
        <f>4%*D55</f>
        <v>84.08</v>
      </c>
      <c r="G55" s="26">
        <f>10%*D55</f>
        <v>210.20000000000002</v>
      </c>
      <c r="H55" s="26">
        <f t="shared" si="11"/>
        <v>294.28000000000003</v>
      </c>
      <c r="I55" s="19">
        <v>0</v>
      </c>
      <c r="J55" s="19">
        <v>0</v>
      </c>
      <c r="K55" s="19">
        <v>0</v>
      </c>
      <c r="L55" s="19">
        <v>0</v>
      </c>
      <c r="M55" s="19">
        <f t="shared" si="12"/>
        <v>0</v>
      </c>
      <c r="N55" s="35"/>
      <c r="O55" s="401"/>
      <c r="P55" s="234">
        <f t="shared" si="10"/>
        <v>155894830</v>
      </c>
      <c r="Q55" s="16"/>
    </row>
    <row r="56" spans="1:17" ht="22.5" customHeight="1" x14ac:dyDescent="0.3">
      <c r="A56" s="13"/>
      <c r="B56" s="14" t="s">
        <v>72</v>
      </c>
      <c r="C56" s="15" t="s">
        <v>42</v>
      </c>
      <c r="D56" s="26">
        <f>773.1+303.8</f>
        <v>1076.9000000000001</v>
      </c>
      <c r="E56" s="50" t="s">
        <v>52</v>
      </c>
      <c r="F56" s="19">
        <f>5%*D56</f>
        <v>53.845000000000006</v>
      </c>
      <c r="G56" s="26">
        <f>15%*D56</f>
        <v>161.535</v>
      </c>
      <c r="H56" s="26">
        <f t="shared" si="11"/>
        <v>215.38</v>
      </c>
      <c r="I56" s="19">
        <v>0</v>
      </c>
      <c r="J56" s="19">
        <v>0</v>
      </c>
      <c r="K56" s="19">
        <v>0</v>
      </c>
      <c r="L56" s="19">
        <v>3</v>
      </c>
      <c r="M56" s="19">
        <f t="shared" si="12"/>
        <v>3</v>
      </c>
      <c r="N56" s="35"/>
      <c r="O56" s="400"/>
      <c r="P56" s="234">
        <f t="shared" si="10"/>
        <v>119802432.74999999</v>
      </c>
      <c r="Q56" s="16"/>
    </row>
    <row r="57" spans="1:17" ht="16.5" customHeight="1" x14ac:dyDescent="0.3">
      <c r="A57" s="13"/>
      <c r="B57" s="14" t="s">
        <v>73</v>
      </c>
      <c r="C57" s="15" t="s">
        <v>105</v>
      </c>
      <c r="D57" s="26">
        <f>153.8+8.7</f>
        <v>162.5</v>
      </c>
      <c r="E57" s="50" t="s">
        <v>52</v>
      </c>
      <c r="F57" s="19">
        <f>7%*D57</f>
        <v>11.375000000000002</v>
      </c>
      <c r="G57" s="26">
        <f>10%*D57</f>
        <v>16.25</v>
      </c>
      <c r="H57" s="26">
        <f t="shared" si="11"/>
        <v>27.625</v>
      </c>
      <c r="I57" s="19">
        <v>0</v>
      </c>
      <c r="J57" s="19">
        <v>0</v>
      </c>
      <c r="K57" s="19">
        <v>0</v>
      </c>
      <c r="L57" s="19">
        <v>6</v>
      </c>
      <c r="M57" s="19">
        <f t="shared" si="12"/>
        <v>6</v>
      </c>
      <c r="N57" s="35"/>
      <c r="O57" s="36"/>
      <c r="P57" s="234">
        <f t="shared" si="10"/>
        <v>12051812.499999998</v>
      </c>
      <c r="Q57" s="16"/>
    </row>
    <row r="58" spans="1:17" ht="16.5" customHeight="1" x14ac:dyDescent="0.3">
      <c r="A58" s="13"/>
      <c r="B58" s="14" t="s">
        <v>74</v>
      </c>
      <c r="C58" s="15" t="s">
        <v>110</v>
      </c>
      <c r="D58" s="26">
        <f>695+48.2</f>
        <v>743.2</v>
      </c>
      <c r="E58" s="50" t="s">
        <v>52</v>
      </c>
      <c r="F58" s="19">
        <f>9%*D58</f>
        <v>66.888000000000005</v>
      </c>
      <c r="G58" s="26">
        <f>10%*D58</f>
        <v>74.320000000000007</v>
      </c>
      <c r="H58" s="26">
        <f t="shared" si="11"/>
        <v>141.20800000000003</v>
      </c>
      <c r="I58" s="19">
        <v>0</v>
      </c>
      <c r="J58" s="19">
        <v>0</v>
      </c>
      <c r="K58" s="19">
        <v>0</v>
      </c>
      <c r="L58" s="19">
        <v>0</v>
      </c>
      <c r="M58" s="19">
        <f t="shared" si="12"/>
        <v>0</v>
      </c>
      <c r="N58" s="35">
        <v>3</v>
      </c>
      <c r="O58" s="399" t="s">
        <v>644</v>
      </c>
      <c r="P58" s="234">
        <f t="shared" si="10"/>
        <v>55119428.000000007</v>
      </c>
      <c r="Q58" s="16"/>
    </row>
    <row r="59" spans="1:17" ht="16.5" customHeight="1" x14ac:dyDescent="0.3">
      <c r="A59" s="13"/>
      <c r="B59" s="14" t="s">
        <v>75</v>
      </c>
      <c r="C59" s="15" t="s">
        <v>112</v>
      </c>
      <c r="D59" s="26">
        <f>375+14</f>
        <v>389</v>
      </c>
      <c r="E59" s="50" t="s">
        <v>52</v>
      </c>
      <c r="F59" s="19">
        <f>5%*D59</f>
        <v>19.450000000000003</v>
      </c>
      <c r="G59" s="26">
        <f>10%*D59</f>
        <v>38.900000000000006</v>
      </c>
      <c r="H59" s="26">
        <f t="shared" si="11"/>
        <v>58.350000000000009</v>
      </c>
      <c r="I59" s="19">
        <v>0</v>
      </c>
      <c r="J59" s="19">
        <v>0</v>
      </c>
      <c r="K59" s="19">
        <v>0</v>
      </c>
      <c r="L59" s="19">
        <v>0</v>
      </c>
      <c r="M59" s="19">
        <f t="shared" si="12"/>
        <v>0</v>
      </c>
      <c r="N59" s="35"/>
      <c r="O59" s="401"/>
      <c r="P59" s="234">
        <f t="shared" si="10"/>
        <v>28850185</v>
      </c>
      <c r="Q59" s="16"/>
    </row>
    <row r="60" spans="1:17" ht="16.5" customHeight="1" x14ac:dyDescent="0.3">
      <c r="A60" s="13"/>
      <c r="B60" s="14" t="s">
        <v>104</v>
      </c>
      <c r="C60" s="15" t="s">
        <v>114</v>
      </c>
      <c r="D60" s="26">
        <f>73.5</f>
        <v>73.5</v>
      </c>
      <c r="E60" s="50" t="s">
        <v>52</v>
      </c>
      <c r="F60" s="19">
        <f>9%*D60</f>
        <v>6.6149999999999993</v>
      </c>
      <c r="G60" s="26">
        <f>10%*D60</f>
        <v>7.3500000000000005</v>
      </c>
      <c r="H60" s="26">
        <f t="shared" si="11"/>
        <v>13.965</v>
      </c>
      <c r="I60" s="19">
        <v>0</v>
      </c>
      <c r="J60" s="19">
        <v>0</v>
      </c>
      <c r="K60" s="19">
        <v>0</v>
      </c>
      <c r="L60" s="19">
        <v>5</v>
      </c>
      <c r="M60" s="19">
        <f t="shared" si="12"/>
        <v>5</v>
      </c>
      <c r="N60" s="35"/>
      <c r="O60" s="401"/>
      <c r="P60" s="234">
        <f t="shared" si="10"/>
        <v>5451127.5</v>
      </c>
      <c r="Q60" s="16"/>
    </row>
    <row r="61" spans="1:17" ht="16.5" customHeight="1" x14ac:dyDescent="0.3">
      <c r="A61" s="13"/>
      <c r="B61" s="14" t="s">
        <v>106</v>
      </c>
      <c r="C61" s="15" t="s">
        <v>22</v>
      </c>
      <c r="D61" s="26">
        <f>1184.3+105</f>
        <v>1289.3</v>
      </c>
      <c r="E61" s="50" t="s">
        <v>52</v>
      </c>
      <c r="F61" s="19">
        <f>5%*D61</f>
        <v>64.465000000000003</v>
      </c>
      <c r="G61" s="26">
        <f>10%*D61</f>
        <v>128.93</v>
      </c>
      <c r="H61" s="26">
        <f t="shared" si="11"/>
        <v>193.39500000000001</v>
      </c>
      <c r="I61" s="19">
        <v>0</v>
      </c>
      <c r="J61" s="19">
        <v>0</v>
      </c>
      <c r="K61" s="19"/>
      <c r="L61" s="19">
        <v>0</v>
      </c>
      <c r="M61" s="19">
        <f t="shared" si="12"/>
        <v>0</v>
      </c>
      <c r="N61" s="35"/>
      <c r="O61" s="401"/>
      <c r="P61" s="234">
        <f t="shared" si="10"/>
        <v>95620934.5</v>
      </c>
      <c r="Q61" s="16"/>
    </row>
    <row r="62" spans="1:17" ht="14.25" customHeight="1" x14ac:dyDescent="0.3">
      <c r="A62" s="13"/>
      <c r="B62" s="14" t="s">
        <v>108</v>
      </c>
      <c r="C62" s="15" t="s">
        <v>180</v>
      </c>
      <c r="D62" s="26">
        <f>134.8+5</f>
        <v>139.80000000000001</v>
      </c>
      <c r="E62" s="47" t="s">
        <v>52</v>
      </c>
      <c r="F62" s="19">
        <f>5%*D62</f>
        <v>6.9900000000000011</v>
      </c>
      <c r="G62" s="26">
        <f>15%*D62</f>
        <v>20.970000000000002</v>
      </c>
      <c r="H62" s="26">
        <f t="shared" si="11"/>
        <v>27.960000000000004</v>
      </c>
      <c r="I62" s="19">
        <v>0</v>
      </c>
      <c r="J62" s="19">
        <v>0</v>
      </c>
      <c r="K62" s="19">
        <v>0</v>
      </c>
      <c r="L62" s="19">
        <v>5</v>
      </c>
      <c r="M62" s="19">
        <f t="shared" si="12"/>
        <v>5</v>
      </c>
      <c r="N62" s="35"/>
      <c r="O62" s="401"/>
      <c r="P62" s="234">
        <f t="shared" si="10"/>
        <v>15552400.5</v>
      </c>
      <c r="Q62" s="16"/>
    </row>
    <row r="63" spans="1:17" ht="16.5" customHeight="1" x14ac:dyDescent="0.3">
      <c r="A63" s="13"/>
      <c r="B63" s="14" t="s">
        <v>109</v>
      </c>
      <c r="C63" s="15" t="s">
        <v>43</v>
      </c>
      <c r="D63" s="26">
        <f>1195+218.6</f>
        <v>1413.6</v>
      </c>
      <c r="E63" s="50" t="s">
        <v>52</v>
      </c>
      <c r="F63" s="19">
        <f>6%*D63</f>
        <v>84.815999999999988</v>
      </c>
      <c r="G63" s="26">
        <f>10%*D63</f>
        <v>141.35999999999999</v>
      </c>
      <c r="H63" s="26">
        <f t="shared" si="11"/>
        <v>226.17599999999999</v>
      </c>
      <c r="I63" s="19">
        <v>0</v>
      </c>
      <c r="J63" s="19">
        <v>0</v>
      </c>
      <c r="K63" s="19">
        <v>0</v>
      </c>
      <c r="L63" s="19">
        <v>0</v>
      </c>
      <c r="M63" s="19">
        <f t="shared" si="12"/>
        <v>0</v>
      </c>
      <c r="N63" s="35"/>
      <c r="O63" s="400"/>
      <c r="P63" s="234">
        <f t="shared" si="10"/>
        <v>104839644</v>
      </c>
      <c r="Q63" s="16"/>
    </row>
    <row r="64" spans="1:17" ht="15.75" customHeight="1" x14ac:dyDescent="0.3">
      <c r="A64" s="13"/>
      <c r="B64" s="14" t="s">
        <v>111</v>
      </c>
      <c r="C64" s="15" t="s">
        <v>44</v>
      </c>
      <c r="D64" s="26">
        <f>1400.35+129.1</f>
        <v>1529.4499999999998</v>
      </c>
      <c r="E64" s="50" t="s">
        <v>52</v>
      </c>
      <c r="F64" s="19">
        <f>6%*D64</f>
        <v>91.766999999999982</v>
      </c>
      <c r="G64" s="26">
        <f>10%*D64</f>
        <v>152.94499999999999</v>
      </c>
      <c r="H64" s="26">
        <f t="shared" si="11"/>
        <v>244.71199999999999</v>
      </c>
      <c r="I64" s="19">
        <v>0</v>
      </c>
      <c r="J64" s="19">
        <v>0</v>
      </c>
      <c r="K64" s="19">
        <v>0</v>
      </c>
      <c r="L64" s="19">
        <v>6</v>
      </c>
      <c r="M64" s="19">
        <f t="shared" si="12"/>
        <v>6</v>
      </c>
      <c r="N64" s="35"/>
      <c r="O64" s="36"/>
      <c r="P64" s="234">
        <f t="shared" si="10"/>
        <v>113431659.24999999</v>
      </c>
      <c r="Q64" s="16"/>
    </row>
    <row r="65" spans="1:19" ht="16.5" customHeight="1" x14ac:dyDescent="0.3">
      <c r="A65" s="13"/>
      <c r="B65" s="14" t="s">
        <v>74</v>
      </c>
      <c r="C65" s="15" t="s">
        <v>43</v>
      </c>
      <c r="D65" s="26">
        <v>1189</v>
      </c>
      <c r="E65" s="50" t="s">
        <v>52</v>
      </c>
      <c r="F65" s="19">
        <f>5%*D65</f>
        <v>59.45</v>
      </c>
      <c r="G65" s="26">
        <f>10%*D65</f>
        <v>118.9</v>
      </c>
      <c r="H65" s="26">
        <f t="shared" si="11"/>
        <v>178.35000000000002</v>
      </c>
      <c r="I65" s="19">
        <v>0</v>
      </c>
      <c r="J65" s="19"/>
      <c r="K65" s="19"/>
      <c r="L65" s="19">
        <v>4</v>
      </c>
      <c r="M65" s="19">
        <f t="shared" si="12"/>
        <v>4</v>
      </c>
      <c r="N65" s="35"/>
      <c r="O65" s="36"/>
      <c r="P65" s="234">
        <f t="shared" si="10"/>
        <v>88182185</v>
      </c>
      <c r="Q65" s="16"/>
    </row>
    <row r="66" spans="1:19" ht="18.75" customHeight="1" x14ac:dyDescent="0.3">
      <c r="A66" s="89"/>
      <c r="B66" s="72" t="s">
        <v>347</v>
      </c>
      <c r="C66" s="72"/>
      <c r="D66" s="84">
        <f>SUM(D36:D65)</f>
        <v>30187.68</v>
      </c>
      <c r="E66" s="74"/>
      <c r="F66" s="83">
        <f>SUM(F43:F65)</f>
        <v>1740.8009999999999</v>
      </c>
      <c r="G66" s="83">
        <f t="shared" ref="G66:M66" si="14">SUM(G36:G65)</f>
        <v>5118.9269999999997</v>
      </c>
      <c r="H66" s="83">
        <f t="shared" si="14"/>
        <v>7333.7846000000009</v>
      </c>
      <c r="I66" s="83">
        <f t="shared" si="14"/>
        <v>0</v>
      </c>
      <c r="J66" s="83">
        <f t="shared" si="14"/>
        <v>0</v>
      </c>
      <c r="K66" s="83">
        <f t="shared" si="14"/>
        <v>5</v>
      </c>
      <c r="L66" s="83">
        <f t="shared" si="14"/>
        <v>102</v>
      </c>
      <c r="M66" s="83">
        <f t="shared" si="14"/>
        <v>107</v>
      </c>
      <c r="N66" s="76"/>
      <c r="O66" s="77"/>
      <c r="P66" s="184">
        <f>SUM(P36:P65)</f>
        <v>3796452209.5499997</v>
      </c>
      <c r="Q66" s="75"/>
    </row>
    <row r="67" spans="1:19" ht="13.5" customHeight="1" x14ac:dyDescent="0.3">
      <c r="A67" s="63">
        <v>4</v>
      </c>
      <c r="B67" s="64" t="s">
        <v>46</v>
      </c>
      <c r="C67" s="65"/>
      <c r="D67" s="66"/>
      <c r="E67" s="67"/>
      <c r="F67" s="82"/>
      <c r="G67" s="82"/>
      <c r="H67" s="82"/>
      <c r="I67" s="82"/>
      <c r="J67" s="82"/>
      <c r="K67" s="82"/>
      <c r="L67" s="82"/>
      <c r="M67" s="82"/>
      <c r="N67" s="69"/>
      <c r="O67" s="70"/>
      <c r="P67" s="233"/>
      <c r="Q67" s="68"/>
    </row>
    <row r="68" spans="1:19" ht="18.75" customHeight="1" x14ac:dyDescent="0.3">
      <c r="A68" s="102"/>
      <c r="B68" s="98" t="s">
        <v>57</v>
      </c>
      <c r="C68" s="99" t="s">
        <v>29</v>
      </c>
      <c r="D68" s="96">
        <v>175</v>
      </c>
      <c r="E68" s="101" t="s">
        <v>645</v>
      </c>
      <c r="F68" s="96">
        <f>1%*D68</f>
        <v>1.75</v>
      </c>
      <c r="G68" s="96">
        <f>2%*D68</f>
        <v>3.5</v>
      </c>
      <c r="H68" s="96">
        <f>SUM(F68:G68)</f>
        <v>5.25</v>
      </c>
      <c r="I68" s="97">
        <v>0</v>
      </c>
      <c r="J68" s="97"/>
      <c r="K68" s="97"/>
      <c r="L68" s="97">
        <v>3</v>
      </c>
      <c r="M68" s="97">
        <f t="shared" ref="M68:M77" si="15">SUM(I68:L68)</f>
        <v>3</v>
      </c>
      <c r="N68" s="35" t="s">
        <v>51</v>
      </c>
      <c r="O68" s="36" t="s">
        <v>229</v>
      </c>
      <c r="P68" s="234">
        <f>G68*1.036*20%*8000000</f>
        <v>5801600.0000000009</v>
      </c>
      <c r="Q68" s="16"/>
    </row>
    <row r="69" spans="1:19" ht="16.5" customHeight="1" x14ac:dyDescent="0.3">
      <c r="A69" s="13"/>
      <c r="B69" s="14" t="s">
        <v>58</v>
      </c>
      <c r="C69" s="15" t="s">
        <v>33</v>
      </c>
      <c r="D69" s="26">
        <v>368</v>
      </c>
      <c r="E69" s="47" t="s">
        <v>185</v>
      </c>
      <c r="F69" s="26">
        <f>2%*D69</f>
        <v>7.36</v>
      </c>
      <c r="G69" s="26">
        <f>3%*D69</f>
        <v>11.04</v>
      </c>
      <c r="H69" s="26">
        <f t="shared" ref="H69:H77" si="16">SUM(F69:G69)</f>
        <v>18.399999999999999</v>
      </c>
      <c r="I69" s="19">
        <v>0</v>
      </c>
      <c r="J69" s="19"/>
      <c r="K69" s="19">
        <v>0</v>
      </c>
      <c r="L69" s="19">
        <v>6</v>
      </c>
      <c r="M69" s="19">
        <f t="shared" si="15"/>
        <v>6</v>
      </c>
      <c r="N69" s="35" t="s">
        <v>51</v>
      </c>
      <c r="O69" s="36" t="s">
        <v>138</v>
      </c>
      <c r="P69" s="234">
        <f>G69*1.036*20%*8000000</f>
        <v>18299903.999999996</v>
      </c>
      <c r="Q69" s="16"/>
    </row>
    <row r="70" spans="1:19" ht="17.25" customHeight="1" x14ac:dyDescent="0.3">
      <c r="A70" s="13"/>
      <c r="B70" s="98" t="s">
        <v>59</v>
      </c>
      <c r="C70" s="99" t="s">
        <v>42</v>
      </c>
      <c r="D70" s="96">
        <v>774.98</v>
      </c>
      <c r="E70" s="101" t="s">
        <v>645</v>
      </c>
      <c r="F70" s="96">
        <f>2%*D70</f>
        <v>15.499600000000001</v>
      </c>
      <c r="G70" s="97">
        <f>4%*D70</f>
        <v>30.999200000000002</v>
      </c>
      <c r="H70" s="96">
        <f t="shared" si="16"/>
        <v>46.498800000000003</v>
      </c>
      <c r="I70" s="97">
        <v>0</v>
      </c>
      <c r="J70" s="97"/>
      <c r="K70" s="97">
        <v>0</v>
      </c>
      <c r="L70" s="97">
        <v>7</v>
      </c>
      <c r="M70" s="97">
        <f t="shared" si="15"/>
        <v>7</v>
      </c>
      <c r="N70" s="35"/>
      <c r="O70" s="36"/>
      <c r="P70" s="234">
        <f>G70*1.036*20%*8000000</f>
        <v>51384273.920000009</v>
      </c>
      <c r="Q70" s="16"/>
    </row>
    <row r="71" spans="1:19" ht="18.75" customHeight="1" x14ac:dyDescent="0.3">
      <c r="A71" s="13"/>
      <c r="B71" s="98" t="s">
        <v>60</v>
      </c>
      <c r="C71" s="99" t="s">
        <v>21</v>
      </c>
      <c r="D71" s="96">
        <v>949.55</v>
      </c>
      <c r="E71" s="101" t="s">
        <v>645</v>
      </c>
      <c r="F71" s="96">
        <f>2%*D71</f>
        <v>18.991</v>
      </c>
      <c r="G71" s="97">
        <f>2%*D71</f>
        <v>18.991</v>
      </c>
      <c r="H71" s="96">
        <f t="shared" si="16"/>
        <v>37.981999999999999</v>
      </c>
      <c r="I71" s="97">
        <v>0</v>
      </c>
      <c r="J71" s="97"/>
      <c r="K71" s="97">
        <v>0</v>
      </c>
      <c r="L71" s="97">
        <v>8</v>
      </c>
      <c r="M71" s="97">
        <f t="shared" si="15"/>
        <v>8</v>
      </c>
      <c r="N71" s="35"/>
      <c r="O71" s="36"/>
      <c r="P71" s="234">
        <f t="shared" ref="P71:P74" si="17">G71*1.036*20%*8500000</f>
        <v>33446949.200000003</v>
      </c>
      <c r="Q71" s="16"/>
      <c r="S71" s="1" t="s">
        <v>641</v>
      </c>
    </row>
    <row r="72" spans="1:19" ht="12.75" customHeight="1" x14ac:dyDescent="0.3">
      <c r="A72" s="13"/>
      <c r="B72" s="98"/>
      <c r="C72" s="99"/>
      <c r="D72" s="96"/>
      <c r="E72" s="47" t="s">
        <v>185</v>
      </c>
      <c r="F72" s="96">
        <f>5%*D71</f>
        <v>47.477499999999999</v>
      </c>
      <c r="G72" s="96">
        <f>1%*D71</f>
        <v>9.4954999999999998</v>
      </c>
      <c r="H72" s="96">
        <f>SUM(F72:G72)</f>
        <v>56.972999999999999</v>
      </c>
      <c r="I72" s="19">
        <v>0</v>
      </c>
      <c r="J72" s="19">
        <v>0</v>
      </c>
      <c r="K72" s="19">
        <v>0</v>
      </c>
      <c r="L72" s="19">
        <v>5</v>
      </c>
      <c r="M72" s="19">
        <f t="shared" si="15"/>
        <v>5</v>
      </c>
      <c r="N72" s="35"/>
      <c r="O72" s="36"/>
      <c r="P72" s="234">
        <f t="shared" si="17"/>
        <v>16723474.600000001</v>
      </c>
      <c r="Q72" s="16"/>
    </row>
    <row r="73" spans="1:19" ht="18.75" customHeight="1" x14ac:dyDescent="0.3">
      <c r="A73" s="16"/>
      <c r="B73" s="14" t="s">
        <v>61</v>
      </c>
      <c r="C73" s="15" t="s">
        <v>22</v>
      </c>
      <c r="D73" s="26">
        <v>1223.55</v>
      </c>
      <c r="E73" s="101" t="s">
        <v>645</v>
      </c>
      <c r="F73" s="26">
        <f>3%*D73</f>
        <v>36.706499999999998</v>
      </c>
      <c r="G73" s="19">
        <f>2%*D73</f>
        <v>24.471</v>
      </c>
      <c r="H73" s="26">
        <f t="shared" si="16"/>
        <v>61.177499999999995</v>
      </c>
      <c r="I73" s="19">
        <v>0</v>
      </c>
      <c r="J73" s="19"/>
      <c r="K73" s="19"/>
      <c r="L73" s="19">
        <v>4</v>
      </c>
      <c r="M73" s="19">
        <f t="shared" si="15"/>
        <v>4</v>
      </c>
      <c r="N73" s="35"/>
      <c r="O73" s="36"/>
      <c r="P73" s="234">
        <f t="shared" si="17"/>
        <v>43098325.200000003</v>
      </c>
      <c r="Q73" s="16"/>
    </row>
    <row r="74" spans="1:19" ht="18.75" customHeight="1" x14ac:dyDescent="0.3">
      <c r="A74" s="87"/>
      <c r="B74" s="55"/>
      <c r="C74" s="56"/>
      <c r="D74" s="57"/>
      <c r="E74" s="47" t="s">
        <v>185</v>
      </c>
      <c r="F74" s="26">
        <f>2%*D73</f>
        <v>24.471</v>
      </c>
      <c r="G74" s="19">
        <f>D73*1%</f>
        <v>12.2355</v>
      </c>
      <c r="H74" s="26">
        <f>F74+G74</f>
        <v>36.706499999999998</v>
      </c>
      <c r="I74" s="19"/>
      <c r="J74" s="19"/>
      <c r="K74" s="19"/>
      <c r="L74" s="19"/>
      <c r="M74" s="19"/>
      <c r="N74" s="35"/>
      <c r="O74" s="36"/>
      <c r="P74" s="234">
        <f t="shared" si="17"/>
        <v>21549162.600000001</v>
      </c>
      <c r="Q74" s="16"/>
    </row>
    <row r="75" spans="1:19" ht="16.5" customHeight="1" x14ac:dyDescent="0.3">
      <c r="A75" s="87"/>
      <c r="B75" s="55" t="s">
        <v>62</v>
      </c>
      <c r="C75" s="56" t="s">
        <v>43</v>
      </c>
      <c r="D75" s="57">
        <v>133</v>
      </c>
      <c r="E75" s="101" t="s">
        <v>645</v>
      </c>
      <c r="F75" s="19">
        <f>4%*D75</f>
        <v>5.32</v>
      </c>
      <c r="G75" s="135">
        <f>1%*D75</f>
        <v>1.33</v>
      </c>
      <c r="H75" s="26">
        <f t="shared" si="16"/>
        <v>6.65</v>
      </c>
      <c r="I75" s="19">
        <v>0</v>
      </c>
      <c r="J75" s="19"/>
      <c r="K75" s="19">
        <v>0</v>
      </c>
      <c r="L75" s="19">
        <v>3</v>
      </c>
      <c r="M75" s="19">
        <f t="shared" si="15"/>
        <v>3</v>
      </c>
      <c r="N75" s="35"/>
      <c r="O75" s="36"/>
      <c r="P75" s="234">
        <f>G75*1.036*20%*8000000</f>
        <v>2204608.0000000005</v>
      </c>
      <c r="Q75" s="16"/>
    </row>
    <row r="76" spans="1:19" ht="17.25" customHeight="1" x14ac:dyDescent="0.3">
      <c r="A76" s="87"/>
      <c r="B76" s="14" t="s">
        <v>63</v>
      </c>
      <c r="C76" s="15" t="s">
        <v>44</v>
      </c>
      <c r="D76" s="26">
        <v>324.64999999999998</v>
      </c>
      <c r="E76" s="101" t="s">
        <v>645</v>
      </c>
      <c r="F76" s="135">
        <f>4%*D76</f>
        <v>12.985999999999999</v>
      </c>
      <c r="G76" s="19">
        <f>2%*D76</f>
        <v>6.4929999999999994</v>
      </c>
      <c r="H76" s="26">
        <f t="shared" si="16"/>
        <v>19.478999999999999</v>
      </c>
      <c r="I76" s="135">
        <v>0</v>
      </c>
      <c r="J76" s="135"/>
      <c r="K76" s="135">
        <v>0</v>
      </c>
      <c r="L76" s="135">
        <v>3</v>
      </c>
      <c r="M76" s="135">
        <f t="shared" ref="M76" si="18">SUM(I76:L76)</f>
        <v>3</v>
      </c>
      <c r="N76" s="80"/>
      <c r="O76" s="81"/>
      <c r="P76" s="234">
        <f>G76*1.036*20%*8000000</f>
        <v>10762796.800000001</v>
      </c>
      <c r="Q76" s="87"/>
    </row>
    <row r="77" spans="1:19" ht="21" customHeight="1" x14ac:dyDescent="0.3">
      <c r="A77" s="16"/>
      <c r="B77" s="14" t="s">
        <v>63</v>
      </c>
      <c r="C77" s="15" t="s">
        <v>32</v>
      </c>
      <c r="D77" s="26">
        <v>248.5</v>
      </c>
      <c r="E77" s="101" t="s">
        <v>645</v>
      </c>
      <c r="F77" s="135">
        <f>4%*D77</f>
        <v>9.94</v>
      </c>
      <c r="G77" s="19">
        <f>1%*D77</f>
        <v>2.4849999999999999</v>
      </c>
      <c r="H77" s="26">
        <f t="shared" si="16"/>
        <v>12.424999999999999</v>
      </c>
      <c r="I77" s="135">
        <v>0</v>
      </c>
      <c r="J77" s="135"/>
      <c r="K77" s="135">
        <v>0</v>
      </c>
      <c r="L77" s="135">
        <v>4</v>
      </c>
      <c r="M77" s="135">
        <f t="shared" si="15"/>
        <v>4</v>
      </c>
      <c r="N77" s="80"/>
      <c r="O77" s="81"/>
      <c r="P77" s="234">
        <f>G77*1.036*20%*8000000</f>
        <v>4119136</v>
      </c>
      <c r="Q77" s="87"/>
    </row>
    <row r="78" spans="1:19" ht="16.5" customHeight="1" x14ac:dyDescent="0.3">
      <c r="A78" s="75"/>
      <c r="B78" s="72" t="s">
        <v>348</v>
      </c>
      <c r="C78" s="72"/>
      <c r="D78" s="73">
        <f>SUM(D68:D77)</f>
        <v>4197.2299999999996</v>
      </c>
      <c r="E78" s="74"/>
      <c r="F78" s="73">
        <f t="shared" ref="F78:K78" si="19">SUM(F68:F77)</f>
        <v>180.5016</v>
      </c>
      <c r="G78" s="83">
        <f t="shared" si="19"/>
        <v>121.0402</v>
      </c>
      <c r="H78" s="73">
        <f t="shared" si="19"/>
        <v>301.54179999999997</v>
      </c>
      <c r="I78" s="83">
        <f t="shared" si="19"/>
        <v>0</v>
      </c>
      <c r="J78" s="83">
        <f t="shared" si="19"/>
        <v>0</v>
      </c>
      <c r="K78" s="83">
        <f t="shared" si="19"/>
        <v>0</v>
      </c>
      <c r="L78" s="83">
        <f>SUM(L67:L77)</f>
        <v>43</v>
      </c>
      <c r="M78" s="83">
        <f>SUM(M68:M77)</f>
        <v>43</v>
      </c>
      <c r="N78" s="76"/>
      <c r="O78" s="77"/>
      <c r="P78" s="184">
        <f>SUM(P68:P77)</f>
        <v>207390230.32000002</v>
      </c>
      <c r="Q78" s="75"/>
    </row>
    <row r="79" spans="1:19" ht="14.25" customHeight="1" x14ac:dyDescent="0.3">
      <c r="A79" s="63">
        <v>5</v>
      </c>
      <c r="B79" s="64" t="s">
        <v>96</v>
      </c>
      <c r="C79" s="65"/>
      <c r="D79" s="66"/>
      <c r="E79" s="67"/>
      <c r="F79" s="66"/>
      <c r="G79" s="66"/>
      <c r="H79" s="66"/>
      <c r="I79" s="82"/>
      <c r="J79" s="82"/>
      <c r="K79" s="82"/>
      <c r="L79" s="82"/>
      <c r="M79" s="82"/>
      <c r="N79" s="69"/>
      <c r="O79" s="70"/>
      <c r="P79" s="233"/>
      <c r="Q79" s="68"/>
    </row>
    <row r="80" spans="1:19" ht="27" customHeight="1" x14ac:dyDescent="0.3">
      <c r="A80" s="16"/>
      <c r="B80" s="14" t="s">
        <v>57</v>
      </c>
      <c r="C80" s="15" t="s">
        <v>22</v>
      </c>
      <c r="D80" s="26">
        <v>13.6</v>
      </c>
      <c r="E80" s="49" t="s">
        <v>187</v>
      </c>
      <c r="F80" s="26">
        <f>45%*D80</f>
        <v>6.12</v>
      </c>
      <c r="G80" s="26">
        <f>4%*D80</f>
        <v>0.54400000000000004</v>
      </c>
      <c r="H80" s="26">
        <f t="shared" ref="H80:H88" si="20">SUM(F80:G80)</f>
        <v>6.6639999999999997</v>
      </c>
      <c r="I80" s="19">
        <v>0</v>
      </c>
      <c r="J80" s="19"/>
      <c r="K80" s="19">
        <v>2</v>
      </c>
      <c r="L80" s="19">
        <v>3</v>
      </c>
      <c r="M80" s="19">
        <f>SUM(I80:L80)</f>
        <v>5</v>
      </c>
      <c r="N80" s="35"/>
      <c r="O80" s="36"/>
      <c r="P80" s="161">
        <f t="shared" ref="P80:P88" si="21">G80*0.486*30%*40000000</f>
        <v>3172608</v>
      </c>
      <c r="Q80" s="16"/>
    </row>
    <row r="81" spans="1:20" ht="27.75" customHeight="1" x14ac:dyDescent="0.3">
      <c r="A81" s="16"/>
      <c r="B81" s="14" t="s">
        <v>58</v>
      </c>
      <c r="C81" s="15" t="s">
        <v>21</v>
      </c>
      <c r="D81" s="26">
        <v>24.61</v>
      </c>
      <c r="E81" s="49" t="s">
        <v>187</v>
      </c>
      <c r="F81" s="26">
        <f>10%*D81</f>
        <v>2.4610000000000003</v>
      </c>
      <c r="G81" s="26">
        <f>10%*D81</f>
        <v>2.4610000000000003</v>
      </c>
      <c r="H81" s="26">
        <f t="shared" si="20"/>
        <v>4.9220000000000006</v>
      </c>
      <c r="I81" s="19">
        <v>0</v>
      </c>
      <c r="J81" s="19"/>
      <c r="K81" s="19">
        <v>2</v>
      </c>
      <c r="L81" s="19">
        <v>3</v>
      </c>
      <c r="M81" s="19">
        <f t="shared" ref="M81:M88" si="22">SUM(I81:L81)</f>
        <v>5</v>
      </c>
      <c r="N81" s="35"/>
      <c r="O81" s="40" t="s">
        <v>50</v>
      </c>
      <c r="P81" s="161">
        <f t="shared" si="21"/>
        <v>14352552</v>
      </c>
      <c r="Q81" s="16"/>
      <c r="S81" s="1" t="s">
        <v>636</v>
      </c>
      <c r="T81" s="1" t="s">
        <v>637</v>
      </c>
    </row>
    <row r="82" spans="1:20" ht="25.5" customHeight="1" x14ac:dyDescent="0.3">
      <c r="A82" s="16"/>
      <c r="B82" s="14"/>
      <c r="C82" s="15"/>
      <c r="D82" s="26"/>
      <c r="E82" s="49" t="s">
        <v>631</v>
      </c>
      <c r="F82" s="96">
        <f>5%*D81</f>
        <v>1.2305000000000001</v>
      </c>
      <c r="G82" s="96">
        <f>9%*D81</f>
        <v>2.2148999999999996</v>
      </c>
      <c r="H82" s="96">
        <f t="shared" si="20"/>
        <v>3.4453999999999998</v>
      </c>
      <c r="I82" s="97">
        <v>0</v>
      </c>
      <c r="J82" s="97">
        <v>0</v>
      </c>
      <c r="K82" s="97">
        <v>0</v>
      </c>
      <c r="L82" s="97">
        <v>1</v>
      </c>
      <c r="M82" s="97">
        <f t="shared" si="22"/>
        <v>1</v>
      </c>
      <c r="N82" s="35"/>
      <c r="O82" s="36"/>
      <c r="P82" s="161">
        <f t="shared" si="21"/>
        <v>12917296.799999997</v>
      </c>
      <c r="Q82" s="16"/>
      <c r="T82" s="1" t="s">
        <v>638</v>
      </c>
    </row>
    <row r="83" spans="1:20" ht="27.75" customHeight="1" x14ac:dyDescent="0.3">
      <c r="A83" s="16"/>
      <c r="B83" s="14" t="s">
        <v>59</v>
      </c>
      <c r="C83" s="15" t="s">
        <v>43</v>
      </c>
      <c r="D83" s="26">
        <v>22.64</v>
      </c>
      <c r="E83" s="49" t="s">
        <v>187</v>
      </c>
      <c r="F83" s="96">
        <f>10%*D83</f>
        <v>2.2640000000000002</v>
      </c>
      <c r="G83" s="26">
        <f>5%*D83</f>
        <v>1.1320000000000001</v>
      </c>
      <c r="H83" s="26">
        <f t="shared" si="20"/>
        <v>3.3960000000000004</v>
      </c>
      <c r="I83" s="19">
        <v>0</v>
      </c>
      <c r="J83" s="19"/>
      <c r="K83" s="19"/>
      <c r="L83" s="19">
        <v>1</v>
      </c>
      <c r="M83" s="19">
        <f t="shared" si="22"/>
        <v>1</v>
      </c>
      <c r="N83" s="35"/>
      <c r="O83" s="40" t="s">
        <v>137</v>
      </c>
      <c r="P83" s="161">
        <f t="shared" si="21"/>
        <v>6601824.0000000009</v>
      </c>
      <c r="Q83" s="16"/>
    </row>
    <row r="84" spans="1:20" ht="30" customHeight="1" x14ac:dyDescent="0.3">
      <c r="A84" s="16"/>
      <c r="B84" s="14" t="s">
        <v>60</v>
      </c>
      <c r="C84" s="15" t="s">
        <v>44</v>
      </c>
      <c r="D84" s="26">
        <v>33</v>
      </c>
      <c r="E84" s="49" t="s">
        <v>187</v>
      </c>
      <c r="F84" s="26">
        <f>9%*D84</f>
        <v>2.9699999999999998</v>
      </c>
      <c r="G84" s="26">
        <f>7%*D84</f>
        <v>2.31</v>
      </c>
      <c r="H84" s="26">
        <f t="shared" si="20"/>
        <v>5.2799999999999994</v>
      </c>
      <c r="I84" s="19">
        <v>0</v>
      </c>
      <c r="J84" s="19">
        <v>0</v>
      </c>
      <c r="K84" s="19">
        <v>0</v>
      </c>
      <c r="L84" s="19">
        <v>2</v>
      </c>
      <c r="M84" s="19">
        <f t="shared" si="22"/>
        <v>2</v>
      </c>
      <c r="N84" s="35"/>
      <c r="O84" s="36" t="s">
        <v>145</v>
      </c>
      <c r="P84" s="161">
        <f t="shared" si="21"/>
        <v>13471920</v>
      </c>
      <c r="Q84" s="16"/>
    </row>
    <row r="85" spans="1:20" ht="30.75" customHeight="1" x14ac:dyDescent="0.3">
      <c r="A85" s="16"/>
      <c r="B85" s="14" t="s">
        <v>61</v>
      </c>
      <c r="C85" s="15" t="s">
        <v>33</v>
      </c>
      <c r="D85" s="26">
        <v>8.3000000000000007</v>
      </c>
      <c r="E85" s="49" t="s">
        <v>187</v>
      </c>
      <c r="F85" s="26">
        <f>10%*D85</f>
        <v>0.83000000000000007</v>
      </c>
      <c r="G85" s="26">
        <f>7%*D85</f>
        <v>0.58100000000000007</v>
      </c>
      <c r="H85" s="26">
        <f t="shared" si="20"/>
        <v>1.411</v>
      </c>
      <c r="I85" s="19">
        <v>0</v>
      </c>
      <c r="J85" s="19">
        <v>0</v>
      </c>
      <c r="K85" s="19">
        <v>0</v>
      </c>
      <c r="L85" s="19">
        <v>1</v>
      </c>
      <c r="M85" s="19">
        <f t="shared" si="22"/>
        <v>1</v>
      </c>
      <c r="N85" s="35"/>
      <c r="O85" s="40" t="s">
        <v>626</v>
      </c>
      <c r="P85" s="161">
        <f t="shared" si="21"/>
        <v>3388392</v>
      </c>
      <c r="Q85" s="16"/>
    </row>
    <row r="86" spans="1:20" ht="29.25" customHeight="1" x14ac:dyDescent="0.3">
      <c r="A86" s="16"/>
      <c r="B86" s="14" t="s">
        <v>62</v>
      </c>
      <c r="C86" s="15" t="s">
        <v>655</v>
      </c>
      <c r="D86" s="26">
        <v>5</v>
      </c>
      <c r="E86" s="49" t="s">
        <v>187</v>
      </c>
      <c r="F86" s="26">
        <f>8%*D86</f>
        <v>0.4</v>
      </c>
      <c r="G86" s="26">
        <f>5%*D86</f>
        <v>0.25</v>
      </c>
      <c r="H86" s="26">
        <f t="shared" si="20"/>
        <v>0.65</v>
      </c>
      <c r="I86" s="19">
        <v>0</v>
      </c>
      <c r="J86" s="19">
        <v>0</v>
      </c>
      <c r="K86" s="19">
        <v>0</v>
      </c>
      <c r="L86" s="19"/>
      <c r="M86" s="19">
        <f t="shared" si="22"/>
        <v>0</v>
      </c>
      <c r="N86" s="35"/>
      <c r="O86" s="36"/>
      <c r="P86" s="161">
        <f t="shared" si="21"/>
        <v>1457999.9999999998</v>
      </c>
      <c r="Q86" s="16"/>
    </row>
    <row r="87" spans="1:20" ht="25.5" customHeight="1" x14ac:dyDescent="0.3">
      <c r="A87" s="16"/>
      <c r="B87" s="14">
        <v>9</v>
      </c>
      <c r="C87" s="15" t="s">
        <v>30</v>
      </c>
      <c r="D87" s="26">
        <v>11.5</v>
      </c>
      <c r="E87" s="49" t="s">
        <v>187</v>
      </c>
      <c r="F87" s="26">
        <f>10%*D87</f>
        <v>1.1500000000000001</v>
      </c>
      <c r="G87" s="26">
        <f>8%*D87</f>
        <v>0.92</v>
      </c>
      <c r="H87" s="26">
        <f t="shared" si="20"/>
        <v>2.0700000000000003</v>
      </c>
      <c r="I87" s="19">
        <v>0</v>
      </c>
      <c r="J87" s="19">
        <v>0</v>
      </c>
      <c r="K87" s="19"/>
      <c r="L87" s="19">
        <v>1</v>
      </c>
      <c r="M87" s="19">
        <f t="shared" si="22"/>
        <v>1</v>
      </c>
      <c r="N87" s="35"/>
      <c r="O87" s="36"/>
      <c r="P87" s="161">
        <f t="shared" si="21"/>
        <v>5365440</v>
      </c>
      <c r="Q87" s="16"/>
    </row>
    <row r="88" spans="1:20" ht="23.25" customHeight="1" x14ac:dyDescent="0.3">
      <c r="A88" s="108"/>
      <c r="B88" s="117" t="s">
        <v>64</v>
      </c>
      <c r="C88" s="116" t="s">
        <v>31</v>
      </c>
      <c r="D88" s="109">
        <v>6</v>
      </c>
      <c r="E88" s="261" t="s">
        <v>187</v>
      </c>
      <c r="F88" s="109">
        <f>10%*D88</f>
        <v>0.60000000000000009</v>
      </c>
      <c r="G88" s="109">
        <f>10%*D88</f>
        <v>0.60000000000000009</v>
      </c>
      <c r="H88" s="109">
        <f t="shared" si="20"/>
        <v>1.2000000000000002</v>
      </c>
      <c r="I88" s="111">
        <v>0</v>
      </c>
      <c r="J88" s="111">
        <v>0</v>
      </c>
      <c r="K88" s="111">
        <v>0</v>
      </c>
      <c r="L88" s="111">
        <v>1</v>
      </c>
      <c r="M88" s="111">
        <f t="shared" si="22"/>
        <v>1</v>
      </c>
      <c r="N88" s="115"/>
      <c r="O88" s="113"/>
      <c r="P88" s="262">
        <f t="shared" si="21"/>
        <v>3499200</v>
      </c>
      <c r="Q88" s="108"/>
    </row>
    <row r="89" spans="1:20" ht="15.75" customHeight="1" x14ac:dyDescent="0.3">
      <c r="A89" s="75"/>
      <c r="B89" s="72" t="s">
        <v>349</v>
      </c>
      <c r="C89" s="72"/>
      <c r="D89" s="73">
        <f>SUM(D80:D88)</f>
        <v>124.64999999999999</v>
      </c>
      <c r="E89" s="74"/>
      <c r="F89" s="73">
        <f t="shared" ref="F89:K89" si="23">SUM(F80:F88)</f>
        <v>18.025499999999997</v>
      </c>
      <c r="G89" s="73">
        <f t="shared" si="23"/>
        <v>11.0129</v>
      </c>
      <c r="H89" s="73">
        <f t="shared" si="23"/>
        <v>29.038399999999999</v>
      </c>
      <c r="I89" s="83">
        <f t="shared" si="23"/>
        <v>0</v>
      </c>
      <c r="J89" s="83">
        <f t="shared" si="23"/>
        <v>0</v>
      </c>
      <c r="K89" s="83">
        <f t="shared" si="23"/>
        <v>4</v>
      </c>
      <c r="L89" s="83">
        <f>SUM(L79:L88)</f>
        <v>13</v>
      </c>
      <c r="M89" s="83">
        <f>SUM(M80:M88)</f>
        <v>17</v>
      </c>
      <c r="N89" s="76"/>
      <c r="O89" s="77"/>
      <c r="P89" s="184">
        <f>SUM(P80:P88)</f>
        <v>64227232.799999997</v>
      </c>
      <c r="Q89" s="75"/>
    </row>
    <row r="90" spans="1:20" ht="15.75" customHeight="1" x14ac:dyDescent="0.3">
      <c r="A90" s="103">
        <v>6</v>
      </c>
      <c r="B90" s="104" t="s">
        <v>116</v>
      </c>
      <c r="C90" s="104"/>
      <c r="D90" s="105"/>
      <c r="E90" s="106"/>
      <c r="F90" s="105"/>
      <c r="G90" s="107"/>
      <c r="H90" s="105"/>
      <c r="I90" s="107"/>
      <c r="J90" s="107"/>
      <c r="K90" s="107"/>
      <c r="L90" s="107"/>
      <c r="M90" s="107"/>
      <c r="N90" s="69"/>
      <c r="O90" s="70"/>
      <c r="P90" s="233"/>
      <c r="Q90" s="68"/>
      <c r="S90" s="1" t="s">
        <v>596</v>
      </c>
    </row>
    <row r="91" spans="1:20" ht="16.5" customHeight="1" x14ac:dyDescent="0.3">
      <c r="A91" s="27"/>
      <c r="B91" s="152" t="s">
        <v>57</v>
      </c>
      <c r="C91" s="99" t="s">
        <v>30</v>
      </c>
      <c r="D91" s="154">
        <v>54.84</v>
      </c>
      <c r="E91" s="101" t="s">
        <v>607</v>
      </c>
      <c r="F91" s="154">
        <f>5%*D91</f>
        <v>2.7420000000000004</v>
      </c>
      <c r="G91" s="155">
        <f>5%*D91</f>
        <v>2.7420000000000004</v>
      </c>
      <c r="H91" s="154">
        <f t="shared" ref="H91:H99" si="24">SUM(F91:G91)</f>
        <v>5.4840000000000009</v>
      </c>
      <c r="I91" s="155">
        <v>0</v>
      </c>
      <c r="J91" s="155"/>
      <c r="K91" s="155"/>
      <c r="L91" s="155">
        <v>3</v>
      </c>
      <c r="M91" s="155">
        <f>SUM(I91:L91)</f>
        <v>3</v>
      </c>
      <c r="N91" s="156" t="s">
        <v>86</v>
      </c>
      <c r="O91" s="36" t="s">
        <v>211</v>
      </c>
      <c r="P91" s="236">
        <f t="shared" ref="P91:P99" si="25">G91*0.347*30*21000000</f>
        <v>599428620</v>
      </c>
      <c r="Q91" s="27"/>
      <c r="S91" s="1" t="s">
        <v>597</v>
      </c>
      <c r="T91" s="1" t="s">
        <v>598</v>
      </c>
    </row>
    <row r="92" spans="1:20" ht="14.25" customHeight="1" x14ac:dyDescent="0.3">
      <c r="A92" s="27"/>
      <c r="B92" s="152"/>
      <c r="C92" s="153"/>
      <c r="D92" s="154"/>
      <c r="E92" s="101" t="s">
        <v>625</v>
      </c>
      <c r="F92" s="154">
        <f>7%*D91</f>
        <v>3.8388000000000004</v>
      </c>
      <c r="G92" s="155">
        <f>2%*D91</f>
        <v>1.0968</v>
      </c>
      <c r="H92" s="154">
        <f t="shared" ref="H92:H93" si="26">SUM(F92:G92)</f>
        <v>4.9356000000000009</v>
      </c>
      <c r="I92" s="155">
        <v>0</v>
      </c>
      <c r="J92" s="155"/>
      <c r="K92" s="155"/>
      <c r="L92" s="155">
        <v>1</v>
      </c>
      <c r="M92" s="155">
        <f>SUM(I92:L92)</f>
        <v>1</v>
      </c>
      <c r="N92" s="156"/>
      <c r="O92" s="40"/>
      <c r="P92" s="236">
        <f t="shared" si="25"/>
        <v>239771447.99999997</v>
      </c>
      <c r="Q92" s="27"/>
    </row>
    <row r="93" spans="1:20" ht="15" customHeight="1" x14ac:dyDescent="0.3">
      <c r="A93" s="27"/>
      <c r="B93" s="152"/>
      <c r="C93" s="153"/>
      <c r="D93" s="154"/>
      <c r="E93" s="248" t="s">
        <v>671</v>
      </c>
      <c r="F93" s="154">
        <f>4%*D91</f>
        <v>2.1936</v>
      </c>
      <c r="G93" s="155">
        <f>1%*D91</f>
        <v>0.5484</v>
      </c>
      <c r="H93" s="154">
        <f t="shared" si="26"/>
        <v>2.742</v>
      </c>
      <c r="I93" s="155"/>
      <c r="J93" s="155"/>
      <c r="K93" s="155"/>
      <c r="L93" s="155">
        <v>2</v>
      </c>
      <c r="M93" s="155"/>
      <c r="N93" s="156"/>
      <c r="O93" s="40"/>
      <c r="P93" s="236">
        <f t="shared" si="25"/>
        <v>119885723.99999999</v>
      </c>
      <c r="Q93" s="27"/>
    </row>
    <row r="94" spans="1:20" ht="27" customHeight="1" x14ac:dyDescent="0.3">
      <c r="A94" s="16"/>
      <c r="B94" s="14" t="s">
        <v>58</v>
      </c>
      <c r="C94" s="15" t="s">
        <v>44</v>
      </c>
      <c r="D94" s="26">
        <v>84.65</v>
      </c>
      <c r="E94" s="47" t="s">
        <v>182</v>
      </c>
      <c r="F94" s="26">
        <f>7%*D94</f>
        <v>5.9255000000000013</v>
      </c>
      <c r="G94" s="19">
        <f>8%*D94</f>
        <v>6.7720000000000002</v>
      </c>
      <c r="H94" s="26">
        <f t="shared" si="24"/>
        <v>12.697500000000002</v>
      </c>
      <c r="I94" s="19">
        <v>0</v>
      </c>
      <c r="J94" s="19"/>
      <c r="K94" s="19"/>
      <c r="L94" s="19">
        <v>3</v>
      </c>
      <c r="M94" s="19">
        <f t="shared" ref="M94:M99" si="27">SUM(I94:L94)</f>
        <v>3</v>
      </c>
      <c r="N94" s="35"/>
      <c r="O94" s="40"/>
      <c r="P94" s="236">
        <f t="shared" si="25"/>
        <v>1480426919.9999998</v>
      </c>
      <c r="Q94" s="16"/>
      <c r="S94" s="1" t="s">
        <v>599</v>
      </c>
      <c r="T94" s="1" t="s">
        <v>600</v>
      </c>
    </row>
    <row r="95" spans="1:20" ht="21" customHeight="1" x14ac:dyDescent="0.3">
      <c r="A95" s="16"/>
      <c r="B95" s="14"/>
      <c r="C95" s="15"/>
      <c r="D95" s="26"/>
      <c r="E95" s="101" t="s">
        <v>181</v>
      </c>
      <c r="F95" s="96">
        <f>3%*D94</f>
        <v>2.5394999999999999</v>
      </c>
      <c r="G95" s="97">
        <f>3%*D94</f>
        <v>2.5394999999999999</v>
      </c>
      <c r="H95" s="96">
        <f t="shared" si="24"/>
        <v>5.0789999999999997</v>
      </c>
      <c r="I95" s="97">
        <v>0</v>
      </c>
      <c r="J95" s="97"/>
      <c r="K95" s="97">
        <v>0</v>
      </c>
      <c r="L95" s="97">
        <v>5</v>
      </c>
      <c r="M95" s="97">
        <f>SUM(I95:L95)</f>
        <v>5</v>
      </c>
      <c r="N95" s="35"/>
      <c r="O95" s="159"/>
      <c r="P95" s="236">
        <f t="shared" si="25"/>
        <v>555160095</v>
      </c>
      <c r="Q95" s="16"/>
    </row>
    <row r="96" spans="1:20" ht="30.75" customHeight="1" x14ac:dyDescent="0.3">
      <c r="A96" s="16"/>
      <c r="B96" s="14" t="s">
        <v>59</v>
      </c>
      <c r="C96" s="15" t="s">
        <v>33</v>
      </c>
      <c r="D96" s="26">
        <v>14.2</v>
      </c>
      <c r="E96" s="101" t="s">
        <v>181</v>
      </c>
      <c r="F96" s="96">
        <f>8%*D96</f>
        <v>1.1359999999999999</v>
      </c>
      <c r="G96" s="240">
        <f>13%*D96</f>
        <v>1.8459999999999999</v>
      </c>
      <c r="H96" s="26">
        <f t="shared" si="24"/>
        <v>2.9819999999999998</v>
      </c>
      <c r="I96" s="19">
        <v>0</v>
      </c>
      <c r="J96" s="19"/>
      <c r="K96" s="19"/>
      <c r="L96" s="19">
        <v>3</v>
      </c>
      <c r="M96" s="19">
        <f t="shared" si="27"/>
        <v>3</v>
      </c>
      <c r="N96" s="35" t="s">
        <v>88</v>
      </c>
      <c r="O96" s="40" t="s">
        <v>274</v>
      </c>
      <c r="P96" s="236">
        <f t="shared" si="25"/>
        <v>403554059.99999994</v>
      </c>
      <c r="Q96" s="16"/>
      <c r="S96" s="1" t="s">
        <v>592</v>
      </c>
    </row>
    <row r="97" spans="1:20" ht="23.25" customHeight="1" x14ac:dyDescent="0.3">
      <c r="A97" s="87"/>
      <c r="B97" s="55"/>
      <c r="C97" s="56"/>
      <c r="D97" s="57"/>
      <c r="E97" s="248" t="s">
        <v>671</v>
      </c>
      <c r="F97" s="154">
        <f>4%*D96</f>
        <v>0.56799999999999995</v>
      </c>
      <c r="G97" s="154">
        <f>D96*1%</f>
        <v>0.14199999999999999</v>
      </c>
      <c r="H97" s="154">
        <f t="shared" si="24"/>
        <v>0.71</v>
      </c>
      <c r="I97" s="155"/>
      <c r="J97" s="155"/>
      <c r="K97" s="155"/>
      <c r="L97" s="155">
        <v>2</v>
      </c>
      <c r="M97" s="155"/>
      <c r="N97" s="156"/>
      <c r="O97" s="40"/>
      <c r="P97" s="236">
        <f t="shared" si="25"/>
        <v>31042619.999999993</v>
      </c>
      <c r="Q97" s="87"/>
    </row>
    <row r="98" spans="1:20" ht="23.25" customHeight="1" x14ac:dyDescent="0.3">
      <c r="A98" s="87"/>
      <c r="B98" s="128" t="s">
        <v>61</v>
      </c>
      <c r="C98" s="126" t="s">
        <v>35</v>
      </c>
      <c r="D98" s="127">
        <v>36.72</v>
      </c>
      <c r="E98" s="101" t="s">
        <v>181</v>
      </c>
      <c r="F98" s="96">
        <f>8%*D98</f>
        <v>2.9375999999999998</v>
      </c>
      <c r="G98" s="97">
        <f>3%*D98</f>
        <v>1.1015999999999999</v>
      </c>
      <c r="H98" s="96">
        <f t="shared" si="24"/>
        <v>4.0391999999999992</v>
      </c>
      <c r="I98" s="97">
        <v>0</v>
      </c>
      <c r="J98" s="97"/>
      <c r="K98" s="97">
        <v>0</v>
      </c>
      <c r="L98" s="97">
        <v>5</v>
      </c>
      <c r="M98" s="97">
        <f>SUM(I98:L98)</f>
        <v>5</v>
      </c>
      <c r="N98" s="35"/>
      <c r="O98" s="159"/>
      <c r="P98" s="236">
        <f t="shared" si="25"/>
        <v>240820775.99999997</v>
      </c>
      <c r="Q98" s="87"/>
    </row>
    <row r="99" spans="1:20" ht="29.25" customHeight="1" x14ac:dyDescent="0.3">
      <c r="A99" s="108"/>
      <c r="B99" s="128"/>
      <c r="C99" s="126"/>
      <c r="D99" s="127"/>
      <c r="E99" s="142" t="s">
        <v>183</v>
      </c>
      <c r="F99" s="127">
        <f>5%*D98</f>
        <v>1.8360000000000001</v>
      </c>
      <c r="G99" s="240">
        <f>1%*D98</f>
        <v>0.36719999999999997</v>
      </c>
      <c r="H99" s="127">
        <f t="shared" si="24"/>
        <v>2.2031999999999998</v>
      </c>
      <c r="I99" s="143">
        <v>0</v>
      </c>
      <c r="J99" s="143">
        <v>0</v>
      </c>
      <c r="K99" s="143">
        <v>0</v>
      </c>
      <c r="L99" s="143">
        <v>3</v>
      </c>
      <c r="M99" s="143">
        <f t="shared" si="27"/>
        <v>3</v>
      </c>
      <c r="N99" s="157" t="s">
        <v>254</v>
      </c>
      <c r="O99" s="249" t="s">
        <v>137</v>
      </c>
      <c r="P99" s="236">
        <f t="shared" si="25"/>
        <v>80273591.999999985</v>
      </c>
      <c r="Q99" s="87"/>
      <c r="S99" s="217" t="s">
        <v>601</v>
      </c>
      <c r="T99" s="216" t="s">
        <v>602</v>
      </c>
    </row>
    <row r="100" spans="1:20" ht="20.25" customHeight="1" x14ac:dyDescent="0.3">
      <c r="A100" s="75"/>
      <c r="B100" s="136" t="s">
        <v>351</v>
      </c>
      <c r="C100" s="137"/>
      <c r="D100" s="138">
        <f>SUM(D91:D99)</f>
        <v>190.41</v>
      </c>
      <c r="E100" s="139"/>
      <c r="F100" s="138">
        <f t="shared" ref="F100:M100" si="28">SUM(F91:F99)</f>
        <v>23.716999999999999</v>
      </c>
      <c r="G100" s="140">
        <f t="shared" si="28"/>
        <v>17.1555</v>
      </c>
      <c r="H100" s="138">
        <f t="shared" si="28"/>
        <v>40.872500000000009</v>
      </c>
      <c r="I100" s="140">
        <f t="shared" si="28"/>
        <v>0</v>
      </c>
      <c r="J100" s="140">
        <f t="shared" si="28"/>
        <v>0</v>
      </c>
      <c r="K100" s="140">
        <f t="shared" si="28"/>
        <v>0</v>
      </c>
      <c r="L100" s="140">
        <f t="shared" si="28"/>
        <v>27</v>
      </c>
      <c r="M100" s="140">
        <f t="shared" si="28"/>
        <v>23</v>
      </c>
      <c r="N100" s="76"/>
      <c r="O100" s="77"/>
      <c r="P100" s="237">
        <f>SUM(P91:P99)</f>
        <v>3750363855</v>
      </c>
      <c r="Q100" s="75"/>
    </row>
    <row r="101" spans="1:20" ht="21" customHeight="1" x14ac:dyDescent="0.3">
      <c r="A101" s="63">
        <v>7</v>
      </c>
      <c r="B101" s="8" t="s">
        <v>117</v>
      </c>
      <c r="C101" s="10"/>
      <c r="D101" s="90"/>
      <c r="E101" s="67"/>
      <c r="F101" s="66"/>
      <c r="G101" s="218"/>
      <c r="H101" s="66"/>
      <c r="I101" s="82"/>
      <c r="J101" s="82"/>
      <c r="K101" s="82"/>
      <c r="L101" s="82"/>
      <c r="M101" s="82"/>
      <c r="N101" s="69"/>
      <c r="O101" s="70"/>
      <c r="P101" s="233"/>
      <c r="Q101" s="68"/>
    </row>
    <row r="102" spans="1:20" ht="24.75" customHeight="1" x14ac:dyDescent="0.3">
      <c r="A102" s="16"/>
      <c r="B102" s="14" t="s">
        <v>57</v>
      </c>
      <c r="C102" s="15" t="s">
        <v>22</v>
      </c>
      <c r="D102" s="26">
        <v>300.95</v>
      </c>
      <c r="E102" s="101" t="s">
        <v>203</v>
      </c>
      <c r="F102" s="96">
        <f>2%*D102</f>
        <v>6.0190000000000001</v>
      </c>
      <c r="G102" s="223">
        <f>30%*D102</f>
        <v>90.284999999999997</v>
      </c>
      <c r="H102" s="96">
        <f t="shared" ref="H102:H109" si="29">SUM(F102:G102)</f>
        <v>96.304000000000002</v>
      </c>
      <c r="I102" s="97">
        <v>0</v>
      </c>
      <c r="J102" s="97"/>
      <c r="K102" s="97"/>
      <c r="L102" s="97">
        <v>3</v>
      </c>
      <c r="M102" s="97">
        <f>SUM(I102:L102)</f>
        <v>3</v>
      </c>
      <c r="N102" s="35"/>
      <c r="O102" s="40" t="s">
        <v>211</v>
      </c>
      <c r="P102" s="238">
        <f t="shared" ref="P102:P109" si="30">G102*0.3*30%*40000000</f>
        <v>325026000</v>
      </c>
      <c r="Q102" s="16"/>
    </row>
    <row r="103" spans="1:20" ht="15" customHeight="1" x14ac:dyDescent="0.3">
      <c r="A103" s="16"/>
      <c r="B103" s="14"/>
      <c r="C103" s="15"/>
      <c r="D103" s="26"/>
      <c r="E103" s="101" t="s">
        <v>184</v>
      </c>
      <c r="F103" s="96">
        <f>1%*D102</f>
        <v>3.0095000000000001</v>
      </c>
      <c r="G103" s="97">
        <f>5%*D102</f>
        <v>15.047499999999999</v>
      </c>
      <c r="H103" s="96">
        <f>SUM(F103:G103)</f>
        <v>18.056999999999999</v>
      </c>
      <c r="I103" s="97">
        <v>0</v>
      </c>
      <c r="J103" s="97"/>
      <c r="K103" s="97">
        <v>0</v>
      </c>
      <c r="L103" s="97">
        <v>5</v>
      </c>
      <c r="M103" s="97">
        <f>SUM(I103:L103)</f>
        <v>5</v>
      </c>
      <c r="N103" s="35"/>
      <c r="O103" s="40"/>
      <c r="P103" s="238">
        <f t="shared" si="30"/>
        <v>54170999.999999993</v>
      </c>
      <c r="Q103" s="16"/>
    </row>
    <row r="104" spans="1:20" ht="32.25" customHeight="1" x14ac:dyDescent="0.3">
      <c r="A104" s="16"/>
      <c r="B104" s="98" t="s">
        <v>58</v>
      </c>
      <c r="C104" s="99" t="s">
        <v>42</v>
      </c>
      <c r="D104" s="26">
        <v>277.5</v>
      </c>
      <c r="E104" s="101" t="s">
        <v>203</v>
      </c>
      <c r="F104" s="96">
        <f>1%*D104</f>
        <v>2.7749999999999999</v>
      </c>
      <c r="G104" s="97">
        <f>45%*D104</f>
        <v>124.875</v>
      </c>
      <c r="H104" s="96">
        <f t="shared" si="29"/>
        <v>127.65</v>
      </c>
      <c r="I104" s="97">
        <v>0</v>
      </c>
      <c r="J104" s="97"/>
      <c r="K104" s="97">
        <v>0</v>
      </c>
      <c r="L104" s="97">
        <v>5</v>
      </c>
      <c r="M104" s="97">
        <f>SUM(I104:L104)</f>
        <v>5</v>
      </c>
      <c r="N104" s="35"/>
      <c r="O104" s="40" t="s">
        <v>137</v>
      </c>
      <c r="P104" s="238">
        <f t="shared" si="30"/>
        <v>449550000</v>
      </c>
      <c r="Q104" s="16"/>
      <c r="S104" s="1" t="s">
        <v>593</v>
      </c>
    </row>
    <row r="105" spans="1:20" ht="14.25" customHeight="1" x14ac:dyDescent="0.3">
      <c r="A105" s="16"/>
      <c r="B105" s="14"/>
      <c r="C105" s="15"/>
      <c r="D105" s="26"/>
      <c r="E105" s="101" t="s">
        <v>184</v>
      </c>
      <c r="F105" s="96">
        <f>2%*D104</f>
        <v>5.55</v>
      </c>
      <c r="G105" s="97">
        <f>5%*D104</f>
        <v>13.875</v>
      </c>
      <c r="H105" s="96">
        <f>SUM(F105:G105)</f>
        <v>19.425000000000001</v>
      </c>
      <c r="I105" s="97"/>
      <c r="J105" s="97"/>
      <c r="K105" s="97"/>
      <c r="L105" s="97"/>
      <c r="M105" s="97"/>
      <c r="N105" s="35"/>
      <c r="O105" s="40"/>
      <c r="P105" s="238">
        <f t="shared" si="30"/>
        <v>49949999.999999993</v>
      </c>
      <c r="Q105" s="16"/>
      <c r="S105" s="1" t="s">
        <v>594</v>
      </c>
    </row>
    <row r="106" spans="1:20" ht="22.5" customHeight="1" x14ac:dyDescent="0.3">
      <c r="A106" s="16"/>
      <c r="B106" s="14" t="s">
        <v>59</v>
      </c>
      <c r="C106" s="15" t="s">
        <v>21</v>
      </c>
      <c r="D106" s="18">
        <v>162.94999999999999</v>
      </c>
      <c r="E106" s="101" t="s">
        <v>203</v>
      </c>
      <c r="F106" s="225">
        <f>4%*D106</f>
        <v>6.5179999999999998</v>
      </c>
      <c r="G106" s="225">
        <f>10%*D106</f>
        <v>16.294999999999998</v>
      </c>
      <c r="H106" s="96">
        <f t="shared" si="29"/>
        <v>22.812999999999999</v>
      </c>
      <c r="I106" s="97">
        <v>0</v>
      </c>
      <c r="J106" s="97"/>
      <c r="K106" s="97">
        <v>6</v>
      </c>
      <c r="L106" s="97">
        <v>6</v>
      </c>
      <c r="M106" s="97">
        <f>SUM(I106:L106)</f>
        <v>12</v>
      </c>
      <c r="N106" s="35"/>
      <c r="O106" s="36"/>
      <c r="P106" s="238">
        <f t="shared" si="30"/>
        <v>58661999.999999993</v>
      </c>
      <c r="Q106" s="16"/>
      <c r="S106" s="1" t="s">
        <v>595</v>
      </c>
    </row>
    <row r="107" spans="1:20" ht="24" customHeight="1" x14ac:dyDescent="0.3">
      <c r="A107" s="16"/>
      <c r="B107" s="14" t="s">
        <v>60</v>
      </c>
      <c r="C107" s="15" t="s">
        <v>43</v>
      </c>
      <c r="D107" s="26">
        <v>461.8</v>
      </c>
      <c r="E107" s="101" t="s">
        <v>221</v>
      </c>
      <c r="F107" s="96">
        <f>4%*D107</f>
        <v>18.472000000000001</v>
      </c>
      <c r="G107" s="97">
        <f>12%*D107</f>
        <v>55.415999999999997</v>
      </c>
      <c r="H107" s="96">
        <f t="shared" si="29"/>
        <v>73.888000000000005</v>
      </c>
      <c r="I107" s="97">
        <v>0</v>
      </c>
      <c r="J107" s="97"/>
      <c r="K107" s="97">
        <v>6</v>
      </c>
      <c r="L107" s="97">
        <v>6</v>
      </c>
      <c r="M107" s="97">
        <f>SUM(I107:L107)</f>
        <v>12</v>
      </c>
      <c r="N107" s="35"/>
      <c r="O107" s="36"/>
      <c r="P107" s="238">
        <f t="shared" si="30"/>
        <v>199497599.99999994</v>
      </c>
      <c r="Q107" s="16"/>
    </row>
    <row r="108" spans="1:20" ht="20.25" customHeight="1" x14ac:dyDescent="0.3">
      <c r="A108" s="16"/>
      <c r="B108" s="14"/>
      <c r="C108" s="15"/>
      <c r="D108" s="26"/>
      <c r="E108" s="101" t="s">
        <v>184</v>
      </c>
      <c r="F108" s="96">
        <f>3%*D107</f>
        <v>13.853999999999999</v>
      </c>
      <c r="G108" s="96">
        <f>4%*D107</f>
        <v>18.472000000000001</v>
      </c>
      <c r="H108" s="96">
        <f>SUM(F108:G108)</f>
        <v>32.326000000000001</v>
      </c>
      <c r="I108" s="97"/>
      <c r="J108" s="97"/>
      <c r="K108" s="97"/>
      <c r="L108" s="97">
        <v>3</v>
      </c>
      <c r="M108" s="97"/>
      <c r="N108" s="35"/>
      <c r="O108" s="36"/>
      <c r="P108" s="238">
        <f t="shared" si="30"/>
        <v>66499200</v>
      </c>
      <c r="Q108" s="16"/>
    </row>
    <row r="109" spans="1:20" ht="23.25" customHeight="1" x14ac:dyDescent="0.3">
      <c r="A109" s="16"/>
      <c r="B109" s="14" t="s">
        <v>61</v>
      </c>
      <c r="C109" s="15" t="s">
        <v>44</v>
      </c>
      <c r="D109" s="26">
        <v>84.65</v>
      </c>
      <c r="E109" s="101" t="s">
        <v>203</v>
      </c>
      <c r="F109" s="26">
        <f>1%*D109</f>
        <v>0.84650000000000003</v>
      </c>
      <c r="G109" s="220">
        <f>20%*D109</f>
        <v>16.930000000000003</v>
      </c>
      <c r="H109" s="26">
        <f t="shared" si="29"/>
        <v>17.776500000000002</v>
      </c>
      <c r="I109" s="19">
        <v>0</v>
      </c>
      <c r="J109" s="19"/>
      <c r="K109" s="19"/>
      <c r="L109" s="19">
        <v>6</v>
      </c>
      <c r="M109" s="19">
        <f t="shared" ref="M109" si="31">SUM(I109:L109)</f>
        <v>6</v>
      </c>
      <c r="N109" s="35"/>
      <c r="O109" s="36"/>
      <c r="P109" s="238">
        <f t="shared" si="30"/>
        <v>60948000</v>
      </c>
      <c r="Q109" s="16"/>
    </row>
    <row r="110" spans="1:20" ht="18.75" customHeight="1" x14ac:dyDescent="0.3">
      <c r="A110" s="75"/>
      <c r="B110" s="72" t="s">
        <v>350</v>
      </c>
      <c r="C110" s="72"/>
      <c r="D110" s="73">
        <f>SUM(D102:D109)</f>
        <v>1287.8500000000001</v>
      </c>
      <c r="E110" s="74"/>
      <c r="F110" s="73">
        <f>SUM(F102:F109)</f>
        <v>57.044000000000004</v>
      </c>
      <c r="G110" s="83">
        <f>SUM(G102:G109)</f>
        <v>351.19549999999998</v>
      </c>
      <c r="H110" s="73">
        <f>SUM(H85:H109)</f>
        <v>524.35390000000007</v>
      </c>
      <c r="I110" s="83">
        <f>SUM(I94:I109)</f>
        <v>0</v>
      </c>
      <c r="J110" s="83">
        <f>SUM(J94:J109)</f>
        <v>0</v>
      </c>
      <c r="K110" s="83">
        <f>SUM(K94:K109)</f>
        <v>12</v>
      </c>
      <c r="L110" s="83">
        <f>SUM(L94:L109)</f>
        <v>82</v>
      </c>
      <c r="M110" s="83">
        <f>SUM(M91:M109)</f>
        <v>89</v>
      </c>
      <c r="N110" s="76"/>
      <c r="O110" s="77"/>
      <c r="P110" s="184">
        <f>SUM(P101:P109)</f>
        <v>1264303800</v>
      </c>
      <c r="Q110" s="75"/>
    </row>
    <row r="111" spans="1:20" ht="4.5" customHeight="1" x14ac:dyDescent="0.3">
      <c r="F111" s="2">
        <f>SUM(F102:F110)</f>
        <v>114.08800000000001</v>
      </c>
      <c r="G111" s="2"/>
      <c r="H111" s="2"/>
      <c r="I111" s="2"/>
      <c r="J111" s="2"/>
      <c r="K111" s="2"/>
      <c r="L111" s="2"/>
      <c r="M111" s="2"/>
    </row>
    <row r="112" spans="1:20" ht="15.75" customHeight="1" x14ac:dyDescent="0.3">
      <c r="A112" s="222">
        <v>8</v>
      </c>
      <c r="B112" s="8" t="s">
        <v>608</v>
      </c>
      <c r="C112" s="10"/>
      <c r="D112" s="90"/>
      <c r="E112" s="67"/>
      <c r="F112" s="66"/>
      <c r="G112" s="218"/>
      <c r="H112" s="66"/>
      <c r="I112" s="82"/>
      <c r="J112" s="82"/>
      <c r="K112" s="82"/>
      <c r="L112" s="82"/>
      <c r="M112" s="82"/>
      <c r="N112" s="69"/>
      <c r="O112" s="70"/>
      <c r="P112" s="70"/>
      <c r="Q112" s="87"/>
    </row>
    <row r="113" spans="1:17" ht="29.25" customHeight="1" x14ac:dyDescent="0.3">
      <c r="A113" s="250"/>
      <c r="B113" s="98" t="s">
        <v>57</v>
      </c>
      <c r="C113" s="99" t="s">
        <v>609</v>
      </c>
      <c r="D113" s="96">
        <v>15</v>
      </c>
      <c r="E113" s="101" t="s">
        <v>611</v>
      </c>
      <c r="F113" s="96">
        <f>5%*D113</f>
        <v>0.75</v>
      </c>
      <c r="G113" s="223">
        <f>5%*D113</f>
        <v>0.75</v>
      </c>
      <c r="H113" s="96">
        <f t="shared" ref="H113" si="32">SUM(F113:G113)</f>
        <v>1.5</v>
      </c>
      <c r="I113" s="97">
        <v>0</v>
      </c>
      <c r="J113" s="97"/>
      <c r="K113" s="96"/>
      <c r="L113" s="97">
        <v>1</v>
      </c>
      <c r="M113" s="97">
        <f>SUM(I113:L113)</f>
        <v>1</v>
      </c>
      <c r="N113" s="251" t="s">
        <v>51</v>
      </c>
      <c r="O113" s="169" t="s">
        <v>133</v>
      </c>
      <c r="P113" s="252">
        <f>G113*0.93*30%*7500000</f>
        <v>1569375</v>
      </c>
      <c r="Q113" s="250"/>
    </row>
    <row r="114" spans="1:17" ht="18" customHeight="1" x14ac:dyDescent="0.3">
      <c r="A114" s="250"/>
      <c r="B114" s="98"/>
      <c r="C114" s="99"/>
      <c r="D114" s="96"/>
      <c r="E114" s="101" t="s">
        <v>612</v>
      </c>
      <c r="F114" s="96">
        <f>0.5%*D113</f>
        <v>7.4999999999999997E-2</v>
      </c>
      <c r="G114" s="96">
        <f>3%*D113</f>
        <v>0.44999999999999996</v>
      </c>
      <c r="H114" s="96">
        <f>SUM(F114:G114)</f>
        <v>0.52499999999999991</v>
      </c>
      <c r="I114" s="97">
        <v>0</v>
      </c>
      <c r="J114" s="97"/>
      <c r="K114" s="96"/>
      <c r="L114" s="97"/>
      <c r="M114" s="97">
        <f>SUM(I114:L114)</f>
        <v>0</v>
      </c>
      <c r="N114" s="251"/>
      <c r="O114" s="169"/>
      <c r="P114" s="252">
        <f t="shared" ref="P114:P120" si="33">G114*0.93*80%*8500000</f>
        <v>2845800</v>
      </c>
      <c r="Q114" s="250"/>
    </row>
    <row r="115" spans="1:17" ht="24" customHeight="1" x14ac:dyDescent="0.3">
      <c r="A115" s="250"/>
      <c r="B115" s="98" t="s">
        <v>58</v>
      </c>
      <c r="C115" s="99" t="s">
        <v>180</v>
      </c>
      <c r="D115" s="96">
        <v>12</v>
      </c>
      <c r="E115" s="101" t="s">
        <v>611</v>
      </c>
      <c r="F115" s="96">
        <f>3%*D115</f>
        <v>0.36</v>
      </c>
      <c r="G115" s="96">
        <f>2%*D115</f>
        <v>0.24</v>
      </c>
      <c r="H115" s="96">
        <f t="shared" ref="H115" si="34">SUM(F115:G115)</f>
        <v>0.6</v>
      </c>
      <c r="I115" s="97">
        <v>0</v>
      </c>
      <c r="J115" s="97"/>
      <c r="K115" s="96">
        <v>0</v>
      </c>
      <c r="L115" s="97"/>
      <c r="M115" s="97">
        <f>SUM(I115:L115)</f>
        <v>0</v>
      </c>
      <c r="N115" s="251" t="s">
        <v>51</v>
      </c>
      <c r="O115" s="169" t="s">
        <v>137</v>
      </c>
      <c r="P115" s="252">
        <f t="shared" si="33"/>
        <v>1517760.0000000002</v>
      </c>
      <c r="Q115" s="250"/>
    </row>
    <row r="116" spans="1:17" ht="30" customHeight="1" x14ac:dyDescent="0.3">
      <c r="A116" s="250"/>
      <c r="B116" s="98"/>
      <c r="C116" s="99"/>
      <c r="D116" s="96"/>
      <c r="E116" s="101" t="s">
        <v>612</v>
      </c>
      <c r="F116" s="96">
        <f>5%*D115</f>
        <v>0.60000000000000009</v>
      </c>
      <c r="G116" s="223">
        <f>1%*D115</f>
        <v>0.12</v>
      </c>
      <c r="H116" s="96">
        <f>SUM(F116:G116)</f>
        <v>0.72000000000000008</v>
      </c>
      <c r="I116" s="97"/>
      <c r="J116" s="97"/>
      <c r="K116" s="96"/>
      <c r="L116" s="254">
        <v>0.5</v>
      </c>
      <c r="M116" s="223">
        <f>SUM(I116:L116)</f>
        <v>0.5</v>
      </c>
      <c r="N116" s="251" t="s">
        <v>51</v>
      </c>
      <c r="O116" s="169" t="s">
        <v>679</v>
      </c>
      <c r="P116" s="252">
        <f t="shared" si="33"/>
        <v>758880.00000000012</v>
      </c>
      <c r="Q116" s="250"/>
    </row>
    <row r="117" spans="1:17" ht="18" customHeight="1" x14ac:dyDescent="0.3">
      <c r="A117" s="250"/>
      <c r="B117" s="98" t="s">
        <v>59</v>
      </c>
      <c r="C117" s="99" t="s">
        <v>35</v>
      </c>
      <c r="D117" s="96">
        <v>11</v>
      </c>
      <c r="E117" s="101" t="s">
        <v>611</v>
      </c>
      <c r="F117" s="96">
        <f>5%*D117</f>
        <v>0.55000000000000004</v>
      </c>
      <c r="G117" s="223">
        <f>5%*D117</f>
        <v>0.55000000000000004</v>
      </c>
      <c r="H117" s="96">
        <f t="shared" ref="H117" si="35">SUM(F117:G117)</f>
        <v>1.1000000000000001</v>
      </c>
      <c r="I117" s="97">
        <v>0</v>
      </c>
      <c r="J117" s="97"/>
      <c r="K117" s="96"/>
      <c r="L117" s="97"/>
      <c r="M117" s="223">
        <f t="shared" ref="M117:M120" si="36">SUM(I117:L117)</f>
        <v>0</v>
      </c>
      <c r="N117" s="251"/>
      <c r="O117" s="159"/>
      <c r="P117" s="252">
        <f t="shared" si="33"/>
        <v>3478200.0000000005</v>
      </c>
      <c r="Q117" s="250"/>
    </row>
    <row r="118" spans="1:17" ht="15.75" customHeight="1" x14ac:dyDescent="0.3">
      <c r="A118" s="250"/>
      <c r="B118" s="98"/>
      <c r="C118" s="99"/>
      <c r="D118" s="96"/>
      <c r="E118" s="101" t="s">
        <v>612</v>
      </c>
      <c r="F118" s="96"/>
      <c r="G118" s="96">
        <f>5%*D117</f>
        <v>0.55000000000000004</v>
      </c>
      <c r="H118" s="96">
        <f>SUM(F118:G118)</f>
        <v>0.55000000000000004</v>
      </c>
      <c r="I118" s="97">
        <v>0</v>
      </c>
      <c r="J118" s="97">
        <v>0</v>
      </c>
      <c r="K118" s="96"/>
      <c r="L118" s="97">
        <v>0</v>
      </c>
      <c r="M118" s="96">
        <f t="shared" si="36"/>
        <v>0</v>
      </c>
      <c r="N118" s="251"/>
      <c r="O118" s="159"/>
      <c r="P118" s="252">
        <f t="shared" si="33"/>
        <v>3478200.0000000005</v>
      </c>
      <c r="Q118" s="250"/>
    </row>
    <row r="119" spans="1:17" ht="15.75" customHeight="1" x14ac:dyDescent="0.3">
      <c r="A119" s="250"/>
      <c r="B119" s="122" t="s">
        <v>60</v>
      </c>
      <c r="C119" s="99" t="s">
        <v>34</v>
      </c>
      <c r="D119" s="96">
        <v>28</v>
      </c>
      <c r="E119" s="101" t="s">
        <v>611</v>
      </c>
      <c r="F119" s="96">
        <f>5%*D119</f>
        <v>1.4000000000000001</v>
      </c>
      <c r="G119" s="96">
        <f>4%*D119</f>
        <v>1.1200000000000001</v>
      </c>
      <c r="H119" s="96">
        <f t="shared" ref="H119" si="37">SUM(F119:G119)</f>
        <v>2.5200000000000005</v>
      </c>
      <c r="I119" s="97">
        <v>0</v>
      </c>
      <c r="J119" s="97"/>
      <c r="K119" s="96"/>
      <c r="L119" s="97">
        <v>1</v>
      </c>
      <c r="M119" s="97">
        <f t="shared" si="36"/>
        <v>1</v>
      </c>
      <c r="N119" s="251"/>
      <c r="O119" s="159"/>
      <c r="P119" s="252">
        <f t="shared" si="33"/>
        <v>7082880.0000000009</v>
      </c>
      <c r="Q119" s="250"/>
    </row>
    <row r="120" spans="1:17" ht="24" customHeight="1" x14ac:dyDescent="0.3">
      <c r="A120" s="250"/>
      <c r="B120" s="122"/>
      <c r="C120" s="99"/>
      <c r="D120" s="96"/>
      <c r="E120" s="101" t="s">
        <v>612</v>
      </c>
      <c r="F120" s="96"/>
      <c r="G120" s="96">
        <f>2%*D119</f>
        <v>0.56000000000000005</v>
      </c>
      <c r="H120" s="96">
        <f>SUM(F120:G120)</f>
        <v>0.56000000000000005</v>
      </c>
      <c r="I120" s="97">
        <v>0</v>
      </c>
      <c r="J120" s="97">
        <v>0</v>
      </c>
      <c r="K120" s="96"/>
      <c r="L120" s="97"/>
      <c r="M120" s="97">
        <f t="shared" si="36"/>
        <v>0</v>
      </c>
      <c r="N120" s="251"/>
      <c r="O120" s="159"/>
      <c r="P120" s="252">
        <f t="shared" si="33"/>
        <v>3541440.0000000005</v>
      </c>
      <c r="Q120" s="250"/>
    </row>
    <row r="121" spans="1:17" ht="19.5" customHeight="1" x14ac:dyDescent="0.3">
      <c r="A121" s="75"/>
      <c r="B121" s="72" t="s">
        <v>610</v>
      </c>
      <c r="C121" s="72"/>
      <c r="D121" s="73">
        <f>SUM(D113:D120)</f>
        <v>66</v>
      </c>
      <c r="E121" s="74"/>
      <c r="F121" s="73">
        <f>SUM(F119:F120)</f>
        <v>1.4000000000000001</v>
      </c>
      <c r="G121" s="83">
        <f>SUM(G117:G120)</f>
        <v>2.7800000000000002</v>
      </c>
      <c r="H121" s="73">
        <f>SUM(H113:H120)</f>
        <v>8.0750000000000011</v>
      </c>
      <c r="I121" s="83">
        <f>SUM(I101:I120)</f>
        <v>0</v>
      </c>
      <c r="J121" s="83">
        <f>SUM(J101:J120)</f>
        <v>0</v>
      </c>
      <c r="K121" s="73">
        <f>SUM(K113:K120)</f>
        <v>0</v>
      </c>
      <c r="L121" s="83">
        <f>SUM(L113:L120)</f>
        <v>2.5</v>
      </c>
      <c r="M121" s="83">
        <f>SUM(M113:M120)</f>
        <v>2.5</v>
      </c>
      <c r="N121" s="76"/>
      <c r="O121" s="77"/>
      <c r="P121" s="168">
        <f>SUM(P113:P120)</f>
        <v>24272535</v>
      </c>
      <c r="Q121" s="75"/>
    </row>
    <row r="122" spans="1:17" ht="16.5" customHeight="1" x14ac:dyDescent="0.3">
      <c r="F122" s="2"/>
      <c r="G122" s="2"/>
      <c r="H122" s="2"/>
      <c r="I122" s="2"/>
      <c r="J122" s="2" t="s">
        <v>676</v>
      </c>
      <c r="K122" s="2"/>
      <c r="L122" s="2"/>
      <c r="M122" s="2"/>
    </row>
    <row r="123" spans="1:17" ht="12" customHeight="1" x14ac:dyDescent="0.3">
      <c r="A123" s="395" t="s">
        <v>80</v>
      </c>
      <c r="B123" s="395"/>
      <c r="C123" s="395"/>
      <c r="D123" s="395"/>
    </row>
    <row r="124" spans="1:17" x14ac:dyDescent="0.3">
      <c r="A124" s="395" t="s">
        <v>81</v>
      </c>
      <c r="B124" s="395"/>
      <c r="C124" s="395"/>
      <c r="D124" s="395"/>
      <c r="J124" s="1" t="s">
        <v>85</v>
      </c>
    </row>
    <row r="125" spans="1:17" x14ac:dyDescent="0.3">
      <c r="A125" s="395" t="s">
        <v>82</v>
      </c>
      <c r="B125" s="395"/>
      <c r="C125" s="395"/>
      <c r="D125" s="395"/>
      <c r="J125" s="3" t="s">
        <v>86</v>
      </c>
      <c r="K125" s="1" t="s">
        <v>175</v>
      </c>
      <c r="O125" s="1" t="s">
        <v>90</v>
      </c>
    </row>
    <row r="126" spans="1:17" x14ac:dyDescent="0.3">
      <c r="A126" s="395" t="s">
        <v>83</v>
      </c>
      <c r="B126" s="395"/>
      <c r="C126" s="395"/>
      <c r="D126" s="395"/>
      <c r="K126" s="1" t="s">
        <v>651</v>
      </c>
    </row>
    <row r="127" spans="1:17" ht="9.75" customHeight="1" x14ac:dyDescent="0.3"/>
    <row r="128" spans="1:17" ht="14.25" customHeight="1" x14ac:dyDescent="0.3">
      <c r="J128" s="3" t="s">
        <v>88</v>
      </c>
      <c r="K128" s="1" t="s">
        <v>87</v>
      </c>
      <c r="O128" s="1" t="s">
        <v>90</v>
      </c>
    </row>
    <row r="129" spans="1:15" x14ac:dyDescent="0.3">
      <c r="K129" s="1" t="s">
        <v>91</v>
      </c>
    </row>
    <row r="130" spans="1:15" ht="13.5" customHeight="1" x14ac:dyDescent="0.3">
      <c r="A130" s="398" t="s">
        <v>175</v>
      </c>
      <c r="B130" s="398"/>
      <c r="C130" s="398"/>
      <c r="D130" s="398"/>
    </row>
    <row r="131" spans="1:15" x14ac:dyDescent="0.3">
      <c r="A131" s="395" t="s">
        <v>190</v>
      </c>
      <c r="B131" s="395"/>
      <c r="C131" s="395"/>
      <c r="D131" s="395"/>
      <c r="J131" s="1" t="s">
        <v>254</v>
      </c>
      <c r="K131" s="1" t="s">
        <v>89</v>
      </c>
      <c r="O131" s="1" t="s">
        <v>90</v>
      </c>
    </row>
    <row r="132" spans="1:15" x14ac:dyDescent="0.3">
      <c r="K132" s="1" t="s">
        <v>92</v>
      </c>
    </row>
    <row r="133" spans="1:15" ht="8.25" customHeight="1" x14ac:dyDescent="0.3"/>
    <row r="134" spans="1:15" x14ac:dyDescent="0.3">
      <c r="J134" s="241" t="s">
        <v>265</v>
      </c>
      <c r="K134" s="1" t="s">
        <v>652</v>
      </c>
      <c r="O134" s="1" t="s">
        <v>90</v>
      </c>
    </row>
    <row r="135" spans="1:15" ht="14.25" customHeight="1" x14ac:dyDescent="0.3">
      <c r="J135" s="241"/>
      <c r="K135" s="1" t="s">
        <v>658</v>
      </c>
    </row>
    <row r="136" spans="1:15" ht="5.25" customHeight="1" x14ac:dyDescent="0.3">
      <c r="J136" s="241"/>
    </row>
    <row r="137" spans="1:15" x14ac:dyDescent="0.3">
      <c r="J137" s="241" t="s">
        <v>650</v>
      </c>
      <c r="K137" s="1" t="s">
        <v>255</v>
      </c>
      <c r="O137" s="1" t="s">
        <v>90</v>
      </c>
    </row>
    <row r="138" spans="1:15" x14ac:dyDescent="0.3">
      <c r="K138" s="1" t="s">
        <v>654</v>
      </c>
    </row>
  </sheetData>
  <mergeCells count="24">
    <mergeCell ref="A1:Q1"/>
    <mergeCell ref="A2:Q2"/>
    <mergeCell ref="A6:A7"/>
    <mergeCell ref="B6:C6"/>
    <mergeCell ref="D6:D7"/>
    <mergeCell ref="E6:E7"/>
    <mergeCell ref="F6:H6"/>
    <mergeCell ref="I6:M6"/>
    <mergeCell ref="N6:O7"/>
    <mergeCell ref="P6:P7"/>
    <mergeCell ref="Q6:Q7"/>
    <mergeCell ref="B7:C7"/>
    <mergeCell ref="B24:C24"/>
    <mergeCell ref="B34:C34"/>
    <mergeCell ref="O36:O42"/>
    <mergeCell ref="A130:D130"/>
    <mergeCell ref="A131:D131"/>
    <mergeCell ref="O26:O29"/>
    <mergeCell ref="O44:O56"/>
    <mergeCell ref="O58:O63"/>
    <mergeCell ref="A123:D123"/>
    <mergeCell ref="A124:D124"/>
    <mergeCell ref="A125:D125"/>
    <mergeCell ref="A126:D126"/>
  </mergeCells>
  <pageMargins left="0.36" right="0.70866141732283472" top="0.74803149606299213" bottom="0.74803149606299213" header="0.31496062992125984" footer="0.31496062992125984"/>
  <pageSetup paperSize="5" scale="90" orientation="landscape" horizontalDpi="4294967293"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T161"/>
  <sheetViews>
    <sheetView view="pageBreakPreview" topLeftCell="A55" zoomScale="96" zoomScaleNormal="100" zoomScaleSheetLayoutView="96" workbookViewId="0">
      <selection activeCell="K70" sqref="K70"/>
    </sheetView>
  </sheetViews>
  <sheetFormatPr defaultColWidth="9.1796875" defaultRowHeight="14" x14ac:dyDescent="0.3"/>
  <cols>
    <col min="1" max="1" width="4.81640625" style="1" customWidth="1"/>
    <col min="2" max="2" width="2.1796875" style="1" customWidth="1"/>
    <col min="3" max="3" width="16.26953125" style="1" customWidth="1"/>
    <col min="4" max="4" width="12" style="1" customWidth="1"/>
    <col min="5" max="5" width="30.54296875" style="1" customWidth="1"/>
    <col min="6" max="6" width="11" style="1" bestFit="1" customWidth="1"/>
    <col min="7" max="7" width="8.81640625" style="1" customWidth="1"/>
    <col min="8" max="8" width="9" style="1" customWidth="1"/>
    <col min="9" max="9" width="6.7265625" style="1" customWidth="1"/>
    <col min="10" max="10" width="7" style="1" customWidth="1"/>
    <col min="11" max="12" width="7.54296875" style="1" customWidth="1"/>
    <col min="13" max="13" width="6.81640625" style="1" bestFit="1" customWidth="1"/>
    <col min="14" max="14" width="2" style="1" customWidth="1"/>
    <col min="15" max="15" width="17" style="1" customWidth="1"/>
    <col min="16" max="16" width="15" style="1" customWidth="1"/>
    <col min="17" max="17" width="8.81640625" style="1" customWidth="1"/>
    <col min="18" max="19" width="9.1796875" style="1"/>
    <col min="20" max="20" width="10.7265625" style="1" customWidth="1"/>
    <col min="21" max="16384" width="9.1796875" style="1"/>
  </cols>
  <sheetData>
    <row r="1" spans="1:20" x14ac:dyDescent="0.3">
      <c r="A1" s="385" t="s">
        <v>260</v>
      </c>
      <c r="B1" s="385"/>
      <c r="C1" s="385"/>
      <c r="D1" s="385"/>
      <c r="E1" s="385"/>
      <c r="F1" s="385"/>
      <c r="G1" s="385"/>
      <c r="H1" s="385"/>
      <c r="I1" s="385"/>
      <c r="J1" s="385"/>
      <c r="K1" s="385"/>
      <c r="L1" s="385"/>
      <c r="M1" s="385"/>
      <c r="N1" s="385"/>
      <c r="O1" s="385"/>
      <c r="P1" s="385"/>
      <c r="Q1" s="385"/>
    </row>
    <row r="2" spans="1:20" ht="14.25" customHeight="1" x14ac:dyDescent="0.3">
      <c r="A2" s="385" t="s">
        <v>646</v>
      </c>
      <c r="B2" s="385"/>
      <c r="C2" s="385"/>
      <c r="D2" s="385"/>
      <c r="E2" s="385"/>
      <c r="F2" s="385"/>
      <c r="G2" s="385"/>
      <c r="H2" s="385"/>
      <c r="I2" s="385"/>
      <c r="J2" s="385"/>
      <c r="K2" s="385"/>
      <c r="L2" s="385"/>
      <c r="M2" s="385"/>
      <c r="N2" s="385"/>
      <c r="O2" s="385"/>
      <c r="P2" s="385"/>
      <c r="Q2" s="385"/>
    </row>
    <row r="3" spans="1:20" ht="14.25" customHeight="1" x14ac:dyDescent="0.3">
      <c r="A3" s="1" t="s">
        <v>1</v>
      </c>
      <c r="C3" s="1" t="s">
        <v>603</v>
      </c>
    </row>
    <row r="4" spans="1:20" ht="14.25" customHeight="1" x14ac:dyDescent="0.3">
      <c r="A4" s="1" t="s">
        <v>2</v>
      </c>
      <c r="C4" s="1" t="s">
        <v>680</v>
      </c>
      <c r="D4" s="4"/>
    </row>
    <row r="5" spans="1:20" ht="6" customHeight="1" x14ac:dyDescent="0.3"/>
    <row r="6" spans="1:20" x14ac:dyDescent="0.3">
      <c r="A6" s="386" t="s">
        <v>3</v>
      </c>
      <c r="B6" s="388" t="s">
        <v>4</v>
      </c>
      <c r="C6" s="388"/>
      <c r="D6" s="391" t="s">
        <v>259</v>
      </c>
      <c r="E6" s="391" t="s">
        <v>7</v>
      </c>
      <c r="F6" s="393" t="s">
        <v>170</v>
      </c>
      <c r="G6" s="393"/>
      <c r="H6" s="393"/>
      <c r="I6" s="393" t="s">
        <v>12</v>
      </c>
      <c r="J6" s="393"/>
      <c r="K6" s="393"/>
      <c r="L6" s="393"/>
      <c r="M6" s="393"/>
      <c r="N6" s="391" t="s">
        <v>17</v>
      </c>
      <c r="O6" s="391"/>
      <c r="P6" s="391" t="s">
        <v>258</v>
      </c>
      <c r="Q6" s="386" t="s">
        <v>192</v>
      </c>
    </row>
    <row r="7" spans="1:20" ht="24.75" customHeight="1" x14ac:dyDescent="0.3">
      <c r="A7" s="387"/>
      <c r="B7" s="394" t="s">
        <v>5</v>
      </c>
      <c r="C7" s="394"/>
      <c r="D7" s="392"/>
      <c r="E7" s="392"/>
      <c r="F7" s="147" t="s">
        <v>9</v>
      </c>
      <c r="G7" s="147" t="s">
        <v>10</v>
      </c>
      <c r="H7" s="147" t="s">
        <v>11</v>
      </c>
      <c r="I7" s="147" t="s">
        <v>16</v>
      </c>
      <c r="J7" s="147" t="s">
        <v>13</v>
      </c>
      <c r="K7" s="147" t="s">
        <v>14</v>
      </c>
      <c r="L7" s="148" t="s">
        <v>257</v>
      </c>
      <c r="M7" s="147" t="s">
        <v>11</v>
      </c>
      <c r="N7" s="392"/>
      <c r="O7" s="392"/>
      <c r="P7" s="392"/>
      <c r="Q7" s="387"/>
    </row>
    <row r="8" spans="1:20" ht="6" customHeight="1" x14ac:dyDescent="0.3">
      <c r="A8" s="5"/>
      <c r="B8" s="8"/>
      <c r="C8" s="10"/>
      <c r="D8" s="5"/>
      <c r="E8" s="5"/>
      <c r="F8" s="5"/>
      <c r="G8" s="5"/>
      <c r="H8" s="5"/>
      <c r="I8" s="5"/>
      <c r="J8" s="5"/>
      <c r="K8" s="5"/>
      <c r="L8" s="5"/>
      <c r="M8" s="5"/>
      <c r="N8" s="8"/>
      <c r="O8" s="10"/>
      <c r="P8" s="10"/>
      <c r="Q8" s="5"/>
    </row>
    <row r="9" spans="1:20" ht="14.25" customHeight="1" x14ac:dyDescent="0.3">
      <c r="A9" s="13">
        <v>1</v>
      </c>
      <c r="B9" s="14" t="s">
        <v>20</v>
      </c>
      <c r="C9" s="15"/>
      <c r="D9" s="16"/>
      <c r="E9" s="47"/>
      <c r="F9" s="16"/>
      <c r="G9" s="16"/>
      <c r="H9" s="16"/>
      <c r="I9" s="16"/>
      <c r="J9" s="16"/>
      <c r="K9" s="16"/>
      <c r="L9" s="16"/>
      <c r="M9" s="16"/>
      <c r="N9" s="35"/>
      <c r="O9" s="36"/>
      <c r="P9" s="226"/>
      <c r="Q9" s="16"/>
    </row>
    <row r="10" spans="1:20" ht="30" customHeight="1" x14ac:dyDescent="0.3">
      <c r="A10" s="13"/>
      <c r="B10" s="17" t="s">
        <v>57</v>
      </c>
      <c r="C10" s="15" t="s">
        <v>21</v>
      </c>
      <c r="D10" s="18">
        <v>430.06</v>
      </c>
      <c r="E10" s="49" t="s">
        <v>649</v>
      </c>
      <c r="F10" s="26">
        <f>1%*D10</f>
        <v>4.3006000000000002</v>
      </c>
      <c r="G10" s="26">
        <f>0.4%*D10</f>
        <v>1.72024</v>
      </c>
      <c r="H10" s="26">
        <f>SUM(F10:G10)</f>
        <v>6.0208399999999997</v>
      </c>
      <c r="I10" s="19">
        <v>0</v>
      </c>
      <c r="J10" s="19"/>
      <c r="K10" s="19">
        <v>3</v>
      </c>
      <c r="L10" s="19">
        <v>3</v>
      </c>
      <c r="M10" s="20">
        <f>SUM(I10:L10)</f>
        <v>6</v>
      </c>
      <c r="N10" s="37"/>
      <c r="O10" s="36"/>
      <c r="P10" s="227">
        <f t="shared" ref="P10:P23" si="0">G10*0.261*12%*0</f>
        <v>0</v>
      </c>
      <c r="Q10" s="16"/>
      <c r="S10" s="1" t="s">
        <v>333</v>
      </c>
      <c r="T10" s="1" t="s">
        <v>341</v>
      </c>
    </row>
    <row r="11" spans="1:20" ht="15.75" customHeight="1" x14ac:dyDescent="0.3">
      <c r="A11" s="13"/>
      <c r="B11" s="14"/>
      <c r="C11" s="15"/>
      <c r="D11" s="18"/>
      <c r="E11" s="47" t="s">
        <v>37</v>
      </c>
      <c r="F11" s="26">
        <f>3%*D10</f>
        <v>12.9018</v>
      </c>
      <c r="G11" s="26">
        <f>0.5%*D10</f>
        <v>2.1503000000000001</v>
      </c>
      <c r="H11" s="26">
        <f>SUM(F11:G11)</f>
        <v>15.052099999999999</v>
      </c>
      <c r="I11" s="19">
        <v>0</v>
      </c>
      <c r="J11" s="19"/>
      <c r="K11" s="19"/>
      <c r="L11" s="19">
        <v>2</v>
      </c>
      <c r="M11" s="20">
        <f t="shared" ref="M11:M23" si="1">SUM(I11:L11)</f>
        <v>2</v>
      </c>
      <c r="N11" s="37" t="s">
        <v>51</v>
      </c>
      <c r="O11" s="38" t="s">
        <v>50</v>
      </c>
      <c r="P11" s="227">
        <f t="shared" si="0"/>
        <v>0</v>
      </c>
      <c r="Q11" s="16"/>
    </row>
    <row r="12" spans="1:20" ht="18.75" customHeight="1" x14ac:dyDescent="0.3">
      <c r="A12" s="13"/>
      <c r="B12" s="14"/>
      <c r="C12" s="15"/>
      <c r="D12" s="18"/>
      <c r="E12" s="47" t="s">
        <v>38</v>
      </c>
      <c r="F12" s="26">
        <f>1%*D10</f>
        <v>4.3006000000000002</v>
      </c>
      <c r="G12" s="26">
        <f>1%*D10</f>
        <v>4.3006000000000002</v>
      </c>
      <c r="H12" s="26">
        <f>SUM(F12:G12)</f>
        <v>8.6012000000000004</v>
      </c>
      <c r="I12" s="19">
        <v>0</v>
      </c>
      <c r="J12" s="19"/>
      <c r="K12" s="19"/>
      <c r="L12" s="19">
        <v>4</v>
      </c>
      <c r="M12" s="20">
        <f t="shared" si="1"/>
        <v>4</v>
      </c>
      <c r="N12" s="37" t="s">
        <v>51</v>
      </c>
      <c r="O12" s="36" t="s">
        <v>678</v>
      </c>
      <c r="P12" s="227">
        <f t="shared" si="0"/>
        <v>0</v>
      </c>
      <c r="Q12" s="16"/>
      <c r="S12" s="1" t="s">
        <v>343</v>
      </c>
    </row>
    <row r="13" spans="1:20" ht="31.5" customHeight="1" x14ac:dyDescent="0.3">
      <c r="A13" s="102"/>
      <c r="B13" s="98"/>
      <c r="C13" s="99"/>
      <c r="D13" s="255"/>
      <c r="E13" s="101" t="s">
        <v>39</v>
      </c>
      <c r="F13" s="96">
        <f>10%*D10</f>
        <v>43.006</v>
      </c>
      <c r="G13" s="96">
        <f>4%*D10</f>
        <v>17.202400000000001</v>
      </c>
      <c r="H13" s="96">
        <f>SUM(F13:G13)</f>
        <v>60.208399999999997</v>
      </c>
      <c r="I13" s="97">
        <v>0</v>
      </c>
      <c r="J13" s="97">
        <v>0</v>
      </c>
      <c r="K13" s="97">
        <v>0</v>
      </c>
      <c r="L13" s="97">
        <v>5</v>
      </c>
      <c r="M13" s="121">
        <f t="shared" si="1"/>
        <v>5</v>
      </c>
      <c r="N13" s="256" t="s">
        <v>51</v>
      </c>
      <c r="O13" s="169" t="s">
        <v>48</v>
      </c>
      <c r="P13" s="228">
        <f t="shared" si="0"/>
        <v>0</v>
      </c>
      <c r="Q13" s="257"/>
      <c r="S13" s="1" t="s">
        <v>342</v>
      </c>
    </row>
    <row r="14" spans="1:20" ht="18.75" customHeight="1" x14ac:dyDescent="0.3">
      <c r="A14" s="13"/>
      <c r="B14" s="17" t="s">
        <v>58</v>
      </c>
      <c r="C14" s="15" t="s">
        <v>22</v>
      </c>
      <c r="D14" s="18">
        <v>856.82</v>
      </c>
      <c r="E14" s="47" t="s">
        <v>36</v>
      </c>
      <c r="F14" s="26">
        <f>4%*D14</f>
        <v>34.272800000000004</v>
      </c>
      <c r="G14" s="26">
        <f>5%*D14</f>
        <v>42.841000000000008</v>
      </c>
      <c r="H14" s="26">
        <f>SUM(F14:G14)</f>
        <v>77.113800000000012</v>
      </c>
      <c r="I14" s="19">
        <v>0</v>
      </c>
      <c r="J14" s="19"/>
      <c r="K14" s="19">
        <v>4</v>
      </c>
      <c r="L14" s="19">
        <v>6</v>
      </c>
      <c r="M14" s="20">
        <f t="shared" si="1"/>
        <v>10</v>
      </c>
      <c r="N14" s="35" t="s">
        <v>51</v>
      </c>
      <c r="O14" s="41" t="s">
        <v>137</v>
      </c>
      <c r="P14" s="227">
        <f t="shared" si="0"/>
        <v>0</v>
      </c>
      <c r="Q14" s="16"/>
    </row>
    <row r="15" spans="1:20" ht="18.75" customHeight="1" x14ac:dyDescent="0.3">
      <c r="A15" s="13"/>
      <c r="B15" s="14"/>
      <c r="C15" s="15"/>
      <c r="D15" s="26"/>
      <c r="E15" s="47" t="s">
        <v>37</v>
      </c>
      <c r="F15" s="26">
        <f>4%*D14</f>
        <v>34.272800000000004</v>
      </c>
      <c r="G15" s="26">
        <f>2%*D14</f>
        <v>17.136400000000002</v>
      </c>
      <c r="H15" s="26">
        <f t="shared" ref="H15:H17" si="2">SUM(F15:G15)</f>
        <v>51.409200000000006</v>
      </c>
      <c r="I15" s="19">
        <v>0</v>
      </c>
      <c r="J15" s="19"/>
      <c r="K15" s="19"/>
      <c r="L15" s="19">
        <v>5</v>
      </c>
      <c r="M15" s="20">
        <f t="shared" si="1"/>
        <v>5</v>
      </c>
      <c r="N15" s="35"/>
      <c r="O15" s="36"/>
      <c r="P15" s="227">
        <f t="shared" si="0"/>
        <v>0</v>
      </c>
      <c r="Q15" s="16"/>
      <c r="S15" s="1" t="s">
        <v>344</v>
      </c>
    </row>
    <row r="16" spans="1:20" ht="18.75" customHeight="1" x14ac:dyDescent="0.3">
      <c r="A16" s="13"/>
      <c r="B16" s="14"/>
      <c r="C16" s="15"/>
      <c r="D16" s="26"/>
      <c r="E16" s="47" t="s">
        <v>38</v>
      </c>
      <c r="F16" s="26">
        <f>3%*D14</f>
        <v>25.704599999999999</v>
      </c>
      <c r="G16" s="26">
        <f>2%*D14</f>
        <v>17.136400000000002</v>
      </c>
      <c r="H16" s="26">
        <f t="shared" si="2"/>
        <v>42.841000000000001</v>
      </c>
      <c r="I16" s="19">
        <v>0</v>
      </c>
      <c r="J16" s="19"/>
      <c r="K16" s="19"/>
      <c r="L16" s="19">
        <v>6</v>
      </c>
      <c r="M16" s="20">
        <f t="shared" si="1"/>
        <v>6</v>
      </c>
      <c r="N16" s="35"/>
      <c r="O16" s="36"/>
      <c r="P16" s="227">
        <f t="shared" si="0"/>
        <v>0</v>
      </c>
      <c r="Q16" s="16"/>
      <c r="S16" s="1" t="s">
        <v>345</v>
      </c>
    </row>
    <row r="17" spans="1:20" ht="17.25" customHeight="1" x14ac:dyDescent="0.3">
      <c r="A17" s="54"/>
      <c r="B17" s="55"/>
      <c r="C17" s="56"/>
      <c r="D17" s="57"/>
      <c r="E17" s="58" t="s">
        <v>39</v>
      </c>
      <c r="F17" s="119">
        <f>3%*D14</f>
        <v>25.704599999999999</v>
      </c>
      <c r="G17" s="119">
        <f>2%*D14</f>
        <v>17.136400000000002</v>
      </c>
      <c r="H17" s="119">
        <f t="shared" si="2"/>
        <v>42.841000000000001</v>
      </c>
      <c r="I17" s="59">
        <v>0</v>
      </c>
      <c r="J17" s="59">
        <v>0</v>
      </c>
      <c r="K17" s="59">
        <v>0</v>
      </c>
      <c r="L17" s="59">
        <v>4</v>
      </c>
      <c r="M17" s="60">
        <f t="shared" si="1"/>
        <v>4</v>
      </c>
      <c r="N17" s="42"/>
      <c r="O17" s="38"/>
      <c r="P17" s="227">
        <f t="shared" si="0"/>
        <v>0</v>
      </c>
      <c r="Q17" s="29"/>
    </row>
    <row r="18" spans="1:20" ht="18.75" customHeight="1" x14ac:dyDescent="0.3">
      <c r="A18" s="54"/>
      <c r="B18" s="55" t="s">
        <v>59</v>
      </c>
      <c r="C18" s="56" t="s">
        <v>27</v>
      </c>
      <c r="D18" s="18">
        <v>113.45</v>
      </c>
      <c r="E18" s="47" t="s">
        <v>36</v>
      </c>
      <c r="F18" s="26">
        <f>10%*D18</f>
        <v>11.345000000000001</v>
      </c>
      <c r="G18" s="26">
        <f>2%*F18</f>
        <v>0.22690000000000002</v>
      </c>
      <c r="H18" s="26">
        <f>SUM(F18:G18)</f>
        <v>11.571900000000001</v>
      </c>
      <c r="I18" s="19">
        <v>0</v>
      </c>
      <c r="J18" s="19"/>
      <c r="K18" s="19">
        <v>2</v>
      </c>
      <c r="L18" s="19">
        <v>3</v>
      </c>
      <c r="M18" s="20">
        <f t="shared" si="1"/>
        <v>5</v>
      </c>
      <c r="N18" s="42"/>
      <c r="O18" s="38"/>
      <c r="P18" s="227">
        <f t="shared" si="0"/>
        <v>0</v>
      </c>
      <c r="Q18" s="29"/>
    </row>
    <row r="19" spans="1:20" ht="16.5" customHeight="1" x14ac:dyDescent="0.3">
      <c r="A19" s="54"/>
      <c r="B19" s="55"/>
      <c r="C19" s="56"/>
      <c r="D19" s="26"/>
      <c r="E19" s="47" t="s">
        <v>37</v>
      </c>
      <c r="F19" s="26">
        <f>3%*D18</f>
        <v>3.4034999999999997</v>
      </c>
      <c r="G19" s="26">
        <f>3%*D18</f>
        <v>3.4034999999999997</v>
      </c>
      <c r="H19" s="26">
        <f t="shared" ref="H19:H20" si="3">SUM(F19:G19)</f>
        <v>6.8069999999999995</v>
      </c>
      <c r="I19" s="19">
        <v>0</v>
      </c>
      <c r="J19" s="19"/>
      <c r="K19" s="19"/>
      <c r="L19" s="19">
        <v>6</v>
      </c>
      <c r="M19" s="20">
        <f t="shared" si="1"/>
        <v>6</v>
      </c>
      <c r="N19" s="42"/>
      <c r="O19" s="38"/>
      <c r="P19" s="227">
        <f t="shared" si="0"/>
        <v>0</v>
      </c>
      <c r="Q19" s="29"/>
    </row>
    <row r="20" spans="1:20" ht="17.25" customHeight="1" x14ac:dyDescent="0.3">
      <c r="A20" s="54"/>
      <c r="B20" s="55"/>
      <c r="C20" s="56"/>
      <c r="D20" s="26"/>
      <c r="E20" s="47" t="s">
        <v>38</v>
      </c>
      <c r="F20" s="26">
        <f>2%*D18</f>
        <v>2.2690000000000001</v>
      </c>
      <c r="G20" s="26">
        <f>4%*D18</f>
        <v>4.5380000000000003</v>
      </c>
      <c r="H20" s="26">
        <f t="shared" si="3"/>
        <v>6.8070000000000004</v>
      </c>
      <c r="I20" s="19">
        <v>0</v>
      </c>
      <c r="J20" s="19"/>
      <c r="K20" s="19"/>
      <c r="L20" s="19">
        <v>3</v>
      </c>
      <c r="M20" s="20">
        <f t="shared" si="1"/>
        <v>3</v>
      </c>
      <c r="N20" s="42"/>
      <c r="O20" s="38"/>
      <c r="P20" s="227">
        <f t="shared" si="0"/>
        <v>0</v>
      </c>
      <c r="Q20" s="29"/>
    </row>
    <row r="21" spans="1:20" ht="16.5" customHeight="1" x14ac:dyDescent="0.3">
      <c r="A21" s="13"/>
      <c r="B21" s="17" t="s">
        <v>60</v>
      </c>
      <c r="C21" s="15" t="s">
        <v>42</v>
      </c>
      <c r="D21" s="18">
        <v>527.28</v>
      </c>
      <c r="E21" s="47" t="s">
        <v>36</v>
      </c>
      <c r="F21" s="26">
        <f>23%*D18</f>
        <v>26.093500000000002</v>
      </c>
      <c r="G21" s="26">
        <f>3%*D21</f>
        <v>15.818399999999999</v>
      </c>
      <c r="H21" s="26">
        <f>SUM(F21:G21)</f>
        <v>41.911900000000003</v>
      </c>
      <c r="I21" s="19">
        <v>0</v>
      </c>
      <c r="J21" s="19"/>
      <c r="K21" s="19">
        <v>4</v>
      </c>
      <c r="L21" s="19">
        <v>5</v>
      </c>
      <c r="M21" s="20">
        <f t="shared" si="1"/>
        <v>9</v>
      </c>
      <c r="N21" s="35"/>
      <c r="O21" s="36"/>
      <c r="P21" s="227">
        <f t="shared" si="0"/>
        <v>0</v>
      </c>
      <c r="Q21" s="29"/>
    </row>
    <row r="22" spans="1:20" ht="18.75" customHeight="1" x14ac:dyDescent="0.3">
      <c r="A22" s="13"/>
      <c r="B22" s="14"/>
      <c r="C22" s="15"/>
      <c r="D22" s="26"/>
      <c r="E22" s="47" t="s">
        <v>37</v>
      </c>
      <c r="F22" s="26">
        <f>25%*D21</f>
        <v>131.82</v>
      </c>
      <c r="G22" s="26">
        <f>1%*D21</f>
        <v>5.2728000000000002</v>
      </c>
      <c r="H22" s="26">
        <f t="shared" ref="H22:H23" si="4">SUM(F22:G22)</f>
        <v>137.09279999999998</v>
      </c>
      <c r="I22" s="19">
        <v>0</v>
      </c>
      <c r="J22" s="19"/>
      <c r="K22" s="19"/>
      <c r="L22" s="19">
        <v>2</v>
      </c>
      <c r="M22" s="20">
        <f t="shared" si="1"/>
        <v>2</v>
      </c>
      <c r="N22" s="35"/>
      <c r="O22" s="36"/>
      <c r="P22" s="227">
        <f t="shared" si="0"/>
        <v>0</v>
      </c>
      <c r="Q22" s="29"/>
    </row>
    <row r="23" spans="1:20" ht="18" customHeight="1" x14ac:dyDescent="0.3">
      <c r="A23" s="13"/>
      <c r="B23" s="14"/>
      <c r="C23" s="15"/>
      <c r="D23" s="26"/>
      <c r="E23" s="47" t="s">
        <v>38</v>
      </c>
      <c r="F23" s="26">
        <f>3%*D21</f>
        <v>15.818399999999999</v>
      </c>
      <c r="G23" s="26">
        <f>5%*D21</f>
        <v>26.364000000000001</v>
      </c>
      <c r="H23" s="26">
        <f t="shared" si="4"/>
        <v>42.182400000000001</v>
      </c>
      <c r="I23" s="19">
        <v>0</v>
      </c>
      <c r="J23" s="19"/>
      <c r="K23" s="19"/>
      <c r="L23" s="19">
        <v>2</v>
      </c>
      <c r="M23" s="20">
        <f t="shared" si="1"/>
        <v>2</v>
      </c>
      <c r="N23" s="80"/>
      <c r="O23" s="81"/>
      <c r="P23" s="227">
        <f t="shared" si="0"/>
        <v>0</v>
      </c>
      <c r="Q23" s="88"/>
    </row>
    <row r="24" spans="1:20" ht="18.75" customHeight="1" x14ac:dyDescent="0.3">
      <c r="A24" s="89"/>
      <c r="B24" s="402" t="s">
        <v>325</v>
      </c>
      <c r="C24" s="403"/>
      <c r="D24" s="73">
        <f>SUM(D9:D17)</f>
        <v>1286.8800000000001</v>
      </c>
      <c r="E24" s="74"/>
      <c r="F24" s="118">
        <f>SUM(F9:F17)</f>
        <v>184.46379999999999</v>
      </c>
      <c r="G24" s="118">
        <f>SUM(G9:G17)</f>
        <v>119.62374000000003</v>
      </c>
      <c r="H24" s="118">
        <f>SUM(H9:H17)</f>
        <v>304.08754000000005</v>
      </c>
      <c r="I24" s="75">
        <f>SUM(I9:I17)</f>
        <v>0</v>
      </c>
      <c r="J24" s="75">
        <f>SUM(J9:J17)</f>
        <v>0</v>
      </c>
      <c r="K24" s="75">
        <f>SUM(K8:K23)</f>
        <v>13</v>
      </c>
      <c r="L24" s="160">
        <f>SUM(L10:L23)</f>
        <v>56</v>
      </c>
      <c r="M24" s="160">
        <f>SUM(M10:M23)</f>
        <v>69</v>
      </c>
      <c r="N24" s="76"/>
      <c r="O24" s="77"/>
      <c r="P24" s="229">
        <f>SUM(P10:P23)</f>
        <v>0</v>
      </c>
      <c r="Q24" s="75"/>
    </row>
    <row r="25" spans="1:20" ht="17.25" customHeight="1" x14ac:dyDescent="0.3">
      <c r="A25" s="63">
        <v>2</v>
      </c>
      <c r="B25" s="64" t="s">
        <v>23</v>
      </c>
      <c r="C25" s="65"/>
      <c r="D25" s="66"/>
      <c r="E25" s="67"/>
      <c r="F25" s="68"/>
      <c r="G25" s="68"/>
      <c r="H25" s="68"/>
      <c r="I25" s="68"/>
      <c r="J25" s="68"/>
      <c r="K25" s="68"/>
      <c r="L25" s="68"/>
      <c r="M25" s="68"/>
      <c r="N25" s="69"/>
      <c r="O25" s="70"/>
      <c r="P25" s="230"/>
      <c r="Q25" s="68"/>
      <c r="S25" s="1" t="s">
        <v>333</v>
      </c>
    </row>
    <row r="26" spans="1:20" ht="21" customHeight="1" x14ac:dyDescent="0.3">
      <c r="A26" s="13"/>
      <c r="B26" s="14" t="s">
        <v>57</v>
      </c>
      <c r="C26" s="15" t="s">
        <v>22</v>
      </c>
      <c r="D26" s="26">
        <v>203.28</v>
      </c>
      <c r="E26" s="47" t="s">
        <v>40</v>
      </c>
      <c r="F26" s="19">
        <f>5%*D26</f>
        <v>10.164000000000001</v>
      </c>
      <c r="G26" s="224">
        <f>3%*D26</f>
        <v>6.0983999999999998</v>
      </c>
      <c r="H26" s="19">
        <f t="shared" ref="H26" si="5">SUM(F26:G26)</f>
        <v>16.2624</v>
      </c>
      <c r="I26" s="19">
        <v>0</v>
      </c>
      <c r="J26" s="19">
        <v>0</v>
      </c>
      <c r="K26" s="19">
        <v>6</v>
      </c>
      <c r="L26" s="19">
        <v>4</v>
      </c>
      <c r="M26" s="20">
        <f t="shared" ref="M26:M33" si="6">SUM(I26:L26)</f>
        <v>10</v>
      </c>
      <c r="N26" s="37" t="s">
        <v>51</v>
      </c>
      <c r="O26" s="399" t="s">
        <v>674</v>
      </c>
      <c r="P26" s="231">
        <f t="shared" ref="P26:P33" si="7">G26*0.52*20%*19000000</f>
        <v>12050438.4</v>
      </c>
      <c r="Q26" s="16"/>
      <c r="S26" s="1" t="s">
        <v>659</v>
      </c>
      <c r="T26" s="1" t="s">
        <v>661</v>
      </c>
    </row>
    <row r="27" spans="1:20" ht="16.5" customHeight="1" x14ac:dyDescent="0.3">
      <c r="A27" s="54"/>
      <c r="B27" s="55"/>
      <c r="C27" s="56"/>
      <c r="D27" s="57"/>
      <c r="E27" s="47" t="s">
        <v>629</v>
      </c>
      <c r="F27" s="135">
        <f>2%*D26</f>
        <v>4.0655999999999999</v>
      </c>
      <c r="G27" s="224">
        <f>0%*D26</f>
        <v>0</v>
      </c>
      <c r="H27" s="135">
        <f t="shared" ref="H27:H30" si="8">SUM(F27:G27)</f>
        <v>4.0655999999999999</v>
      </c>
      <c r="I27" s="19"/>
      <c r="J27" s="19"/>
      <c r="K27" s="19"/>
      <c r="L27" s="19">
        <v>4</v>
      </c>
      <c r="M27" s="20">
        <f t="shared" si="6"/>
        <v>4</v>
      </c>
      <c r="N27" s="37"/>
      <c r="O27" s="401"/>
      <c r="P27" s="231">
        <f t="shared" si="7"/>
        <v>0</v>
      </c>
      <c r="Q27" s="16"/>
    </row>
    <row r="28" spans="1:20" ht="19.5" customHeight="1" x14ac:dyDescent="0.3">
      <c r="A28" s="54"/>
      <c r="B28" s="55"/>
      <c r="C28" s="56"/>
      <c r="D28" s="57"/>
      <c r="E28" s="47" t="s">
        <v>669</v>
      </c>
      <c r="F28" s="19">
        <f>2%*D26</f>
        <v>4.0655999999999999</v>
      </c>
      <c r="G28" s="224">
        <f>1%*D26</f>
        <v>2.0327999999999999</v>
      </c>
      <c r="H28" s="135">
        <f>F28+G28</f>
        <v>6.0983999999999998</v>
      </c>
      <c r="I28" s="19"/>
      <c r="J28" s="19"/>
      <c r="K28" s="19"/>
      <c r="L28" s="19"/>
      <c r="M28" s="20"/>
      <c r="N28" s="37"/>
      <c r="O28" s="401"/>
      <c r="P28" s="231">
        <f t="shared" si="7"/>
        <v>4016812.8000000003</v>
      </c>
      <c r="Q28" s="16"/>
    </row>
    <row r="29" spans="1:20" ht="20.25" customHeight="1" x14ac:dyDescent="0.3">
      <c r="A29" s="54"/>
      <c r="B29" s="55" t="s">
        <v>58</v>
      </c>
      <c r="C29" s="56" t="s">
        <v>42</v>
      </c>
      <c r="D29" s="57">
        <v>57</v>
      </c>
      <c r="E29" s="47" t="s">
        <v>40</v>
      </c>
      <c r="F29" s="19">
        <f>10%*D29</f>
        <v>5.7</v>
      </c>
      <c r="G29" s="224">
        <f>2%*D29</f>
        <v>1.1400000000000001</v>
      </c>
      <c r="H29" s="135">
        <f t="shared" si="8"/>
        <v>6.84</v>
      </c>
      <c r="I29" s="19">
        <v>0</v>
      </c>
      <c r="J29" s="19"/>
      <c r="K29" s="19">
        <v>4</v>
      </c>
      <c r="L29" s="19">
        <v>1</v>
      </c>
      <c r="M29" s="20">
        <f t="shared" si="6"/>
        <v>5</v>
      </c>
      <c r="N29" s="37"/>
      <c r="O29" s="400"/>
      <c r="P29" s="231">
        <f t="shared" si="7"/>
        <v>2252640.0000000005</v>
      </c>
      <c r="Q29" s="16"/>
      <c r="S29" s="217" t="s">
        <v>660</v>
      </c>
      <c r="T29" s="1" t="s">
        <v>334</v>
      </c>
    </row>
    <row r="30" spans="1:20" ht="17.25" customHeight="1" x14ac:dyDescent="0.3">
      <c r="A30" s="54"/>
      <c r="B30" s="55"/>
      <c r="C30" s="56"/>
      <c r="D30" s="57"/>
      <c r="E30" s="47" t="s">
        <v>669</v>
      </c>
      <c r="F30" s="79">
        <f>2%*D29</f>
        <v>1.1400000000000001</v>
      </c>
      <c r="G30" s="224">
        <f>3%*D29</f>
        <v>1.71</v>
      </c>
      <c r="H30" s="135">
        <f t="shared" si="8"/>
        <v>2.85</v>
      </c>
      <c r="I30" s="19"/>
      <c r="J30" s="19"/>
      <c r="K30" s="19"/>
      <c r="L30" s="19"/>
      <c r="M30" s="20"/>
      <c r="N30" s="37"/>
      <c r="O30" s="259"/>
      <c r="P30" s="231">
        <f t="shared" si="7"/>
        <v>3378960</v>
      </c>
      <c r="Q30" s="16"/>
      <c r="S30" s="217"/>
    </row>
    <row r="31" spans="1:20" ht="16.5" customHeight="1" x14ac:dyDescent="0.3">
      <c r="A31" s="13"/>
      <c r="B31" s="14"/>
      <c r="C31" s="15"/>
      <c r="D31" s="26"/>
      <c r="E31" s="258" t="s">
        <v>670</v>
      </c>
      <c r="F31" s="135">
        <f>2%*D29</f>
        <v>1.1400000000000001</v>
      </c>
      <c r="G31" s="135">
        <f>3%*D29</f>
        <v>1.71</v>
      </c>
      <c r="H31" s="135">
        <f>F31+G31</f>
        <v>2.85</v>
      </c>
      <c r="I31" s="19">
        <v>0</v>
      </c>
      <c r="J31" s="19"/>
      <c r="K31" s="19">
        <v>1</v>
      </c>
      <c r="L31" s="19">
        <v>1</v>
      </c>
      <c r="M31" s="20">
        <f t="shared" si="6"/>
        <v>2</v>
      </c>
      <c r="N31" s="37"/>
      <c r="O31" s="259"/>
      <c r="P31" s="231">
        <f t="shared" si="7"/>
        <v>3378960</v>
      </c>
      <c r="Q31" s="16"/>
    </row>
    <row r="32" spans="1:20" ht="17.25" customHeight="1" x14ac:dyDescent="0.3">
      <c r="A32" s="54"/>
      <c r="B32" s="55" t="s">
        <v>59</v>
      </c>
      <c r="C32" s="56" t="s">
        <v>21</v>
      </c>
      <c r="D32" s="57">
        <v>72.94</v>
      </c>
      <c r="E32" s="47" t="s">
        <v>40</v>
      </c>
      <c r="F32" s="19">
        <f>4%*D32</f>
        <v>2.9175999999999997</v>
      </c>
      <c r="G32" s="224">
        <f>1%*D32</f>
        <v>0.72939999999999994</v>
      </c>
      <c r="H32" s="135">
        <f>F32+G32</f>
        <v>3.6469999999999998</v>
      </c>
      <c r="I32" s="19">
        <v>0</v>
      </c>
      <c r="J32" s="19">
        <v>0</v>
      </c>
      <c r="K32" s="19">
        <v>2</v>
      </c>
      <c r="L32" s="19">
        <v>3</v>
      </c>
      <c r="M32" s="20">
        <f t="shared" si="6"/>
        <v>5</v>
      </c>
      <c r="N32" s="95"/>
      <c r="O32" s="260"/>
      <c r="P32" s="231">
        <f t="shared" si="7"/>
        <v>1441294.4</v>
      </c>
      <c r="Q32" s="87"/>
    </row>
    <row r="33" spans="1:20" ht="16.5" customHeight="1" x14ac:dyDescent="0.3">
      <c r="A33" s="54"/>
      <c r="B33" s="55"/>
      <c r="C33" s="56"/>
      <c r="D33" s="57"/>
      <c r="E33" s="47" t="s">
        <v>669</v>
      </c>
      <c r="F33" s="19">
        <f>4%*D32</f>
        <v>2.9175999999999997</v>
      </c>
      <c r="G33" s="224">
        <f>3%*D32</f>
        <v>2.1881999999999997</v>
      </c>
      <c r="H33" s="135">
        <f>F33+G33</f>
        <v>5.1057999999999995</v>
      </c>
      <c r="I33" s="19">
        <v>0</v>
      </c>
      <c r="J33" s="19">
        <v>0</v>
      </c>
      <c r="K33" s="19">
        <v>0</v>
      </c>
      <c r="L33" s="19">
        <v>3</v>
      </c>
      <c r="M33" s="20">
        <f t="shared" si="6"/>
        <v>3</v>
      </c>
      <c r="N33" s="95"/>
      <c r="O33" s="260"/>
      <c r="P33" s="231">
        <f t="shared" si="7"/>
        <v>4323883.2</v>
      </c>
      <c r="Q33" s="87"/>
    </row>
    <row r="34" spans="1:20" ht="18" customHeight="1" x14ac:dyDescent="0.3">
      <c r="A34" s="89"/>
      <c r="B34" s="415" t="s">
        <v>326</v>
      </c>
      <c r="C34" s="416"/>
      <c r="D34" s="138">
        <f>SUM(D25:D33)</f>
        <v>333.21999999999997</v>
      </c>
      <c r="E34" s="242"/>
      <c r="F34" s="140">
        <f t="shared" ref="F34:K34" si="9">SUM(F25:F33)</f>
        <v>32.110399999999998</v>
      </c>
      <c r="G34" s="140">
        <f t="shared" si="9"/>
        <v>15.608800000000002</v>
      </c>
      <c r="H34" s="140">
        <f t="shared" si="9"/>
        <v>47.719200000000008</v>
      </c>
      <c r="I34" s="140">
        <f t="shared" si="9"/>
        <v>0</v>
      </c>
      <c r="J34" s="140">
        <f t="shared" si="9"/>
        <v>0</v>
      </c>
      <c r="K34" s="140">
        <f t="shared" si="9"/>
        <v>13</v>
      </c>
      <c r="L34" s="140">
        <f>SUM(L26:L33)</f>
        <v>16</v>
      </c>
      <c r="M34" s="140">
        <f>SUM(M25:M33)</f>
        <v>29</v>
      </c>
      <c r="N34" s="243"/>
      <c r="O34" s="244"/>
      <c r="P34" s="245">
        <f>SUM(P25:P33)</f>
        <v>30842988.800000001</v>
      </c>
      <c r="Q34" s="246"/>
    </row>
    <row r="35" spans="1:20" ht="14.25" customHeight="1" x14ac:dyDescent="0.3">
      <c r="A35" s="63">
        <v>3</v>
      </c>
      <c r="B35" s="64" t="s">
        <v>19</v>
      </c>
      <c r="C35" s="65"/>
      <c r="D35" s="66"/>
      <c r="E35" s="67"/>
      <c r="F35" s="82"/>
      <c r="G35" s="82"/>
      <c r="H35" s="82"/>
      <c r="I35" s="82"/>
      <c r="J35" s="82"/>
      <c r="K35" s="82"/>
      <c r="L35" s="82"/>
      <c r="M35" s="82"/>
      <c r="N35" s="69"/>
      <c r="O35" s="112"/>
      <c r="P35" s="233"/>
      <c r="Q35" s="68"/>
    </row>
    <row r="36" spans="1:20" ht="16.5" customHeight="1" x14ac:dyDescent="0.3">
      <c r="A36" s="13"/>
      <c r="B36" s="14" t="s">
        <v>57</v>
      </c>
      <c r="C36" s="15" t="s">
        <v>24</v>
      </c>
      <c r="D36" s="26">
        <f>1347+481.9+4</f>
        <v>1832.9</v>
      </c>
      <c r="E36" s="50" t="s">
        <v>52</v>
      </c>
      <c r="F36" s="19">
        <f>6%*D36</f>
        <v>109.974</v>
      </c>
      <c r="G36" s="26">
        <f>35%*D36</f>
        <v>641.51499999999999</v>
      </c>
      <c r="H36" s="26">
        <f>SUM(F36:G36)</f>
        <v>751.48900000000003</v>
      </c>
      <c r="I36" s="19">
        <v>0</v>
      </c>
      <c r="J36" s="19"/>
      <c r="K36" s="19">
        <v>10</v>
      </c>
      <c r="L36" s="19">
        <v>10</v>
      </c>
      <c r="M36" s="19">
        <f>SUM(I36:L36)</f>
        <v>20</v>
      </c>
      <c r="N36" s="35">
        <v>1</v>
      </c>
      <c r="O36" s="401" t="s">
        <v>677</v>
      </c>
      <c r="P36" s="234">
        <f t="shared" ref="P36:P65" si="10">G36*0.815*26%*3500000</f>
        <v>475779599.75</v>
      </c>
      <c r="Q36" s="16"/>
    </row>
    <row r="37" spans="1:20" ht="15" customHeight="1" x14ac:dyDescent="0.3">
      <c r="A37" s="13"/>
      <c r="B37" s="14"/>
      <c r="C37" s="15"/>
      <c r="D37" s="26"/>
      <c r="E37" s="47" t="s">
        <v>624</v>
      </c>
      <c r="F37" s="19">
        <f>7%*D36</f>
        <v>128.30300000000003</v>
      </c>
      <c r="G37" s="26">
        <f>3%*D36</f>
        <v>54.987000000000002</v>
      </c>
      <c r="H37" s="26">
        <f>F37+G37</f>
        <v>183.29000000000002</v>
      </c>
      <c r="I37" s="19">
        <v>0</v>
      </c>
      <c r="J37" s="19"/>
      <c r="K37" s="19">
        <v>0</v>
      </c>
      <c r="L37" s="19">
        <v>7</v>
      </c>
      <c r="M37" s="19">
        <f>SUM(I37:L37)</f>
        <v>7</v>
      </c>
      <c r="N37" s="35"/>
      <c r="O37" s="401"/>
      <c r="P37" s="234">
        <f t="shared" si="10"/>
        <v>40781108.549999997</v>
      </c>
      <c r="Q37" s="16"/>
    </row>
    <row r="38" spans="1:20" ht="16.5" customHeight="1" x14ac:dyDescent="0.3">
      <c r="A38" s="13"/>
      <c r="B38" s="14" t="s">
        <v>58</v>
      </c>
      <c r="C38" s="15" t="s">
        <v>25</v>
      </c>
      <c r="D38" s="26">
        <f>1378+343.2+4</f>
        <v>1725.2</v>
      </c>
      <c r="E38" s="50" t="s">
        <v>52</v>
      </c>
      <c r="F38" s="19">
        <f>7%*D38</f>
        <v>120.76400000000001</v>
      </c>
      <c r="G38" s="26">
        <f>15%*D38</f>
        <v>258.77999999999997</v>
      </c>
      <c r="H38" s="26">
        <f t="shared" ref="H38:H65" si="11">SUM(F38:G38)</f>
        <v>379.54399999999998</v>
      </c>
      <c r="I38" s="19">
        <v>0</v>
      </c>
      <c r="J38" s="19"/>
      <c r="K38" s="19">
        <v>5</v>
      </c>
      <c r="L38" s="19">
        <v>5</v>
      </c>
      <c r="M38" s="19">
        <f t="shared" ref="M38:M65" si="12">SUM(I38:L38)</f>
        <v>10</v>
      </c>
      <c r="N38" s="35"/>
      <c r="O38" s="401"/>
      <c r="P38" s="234">
        <f t="shared" si="10"/>
        <v>191924186.99999997</v>
      </c>
      <c r="Q38" s="16"/>
    </row>
    <row r="39" spans="1:20" ht="16.5" customHeight="1" x14ac:dyDescent="0.3">
      <c r="A39" s="13"/>
      <c r="B39" s="14" t="s">
        <v>59</v>
      </c>
      <c r="C39" s="15" t="s">
        <v>26</v>
      </c>
      <c r="D39" s="26">
        <f>1032+337+10</f>
        <v>1379</v>
      </c>
      <c r="E39" s="50" t="s">
        <v>52</v>
      </c>
      <c r="F39" s="19">
        <f>3%*D39</f>
        <v>41.37</v>
      </c>
      <c r="G39" s="26">
        <f>30%*D39</f>
        <v>413.7</v>
      </c>
      <c r="H39" s="26">
        <f t="shared" si="11"/>
        <v>455.07</v>
      </c>
      <c r="I39" s="19"/>
      <c r="J39" s="19"/>
      <c r="K39" s="19"/>
      <c r="L39" s="19">
        <v>3</v>
      </c>
      <c r="M39" s="19">
        <f t="shared" si="12"/>
        <v>3</v>
      </c>
      <c r="N39" s="35"/>
      <c r="O39" s="401"/>
      <c r="P39" s="234">
        <f t="shared" si="10"/>
        <v>306820605</v>
      </c>
      <c r="Q39" s="16"/>
      <c r="T39" s="1">
        <f>1379/16</f>
        <v>86.1875</v>
      </c>
    </row>
    <row r="40" spans="1:20" ht="16.5" customHeight="1" x14ac:dyDescent="0.3">
      <c r="A40" s="13"/>
      <c r="B40" s="14"/>
      <c r="C40" s="15"/>
      <c r="D40" s="26"/>
      <c r="E40" s="47" t="s">
        <v>624</v>
      </c>
      <c r="F40" s="19">
        <f>4%*D39</f>
        <v>55.160000000000004</v>
      </c>
      <c r="G40" s="26">
        <f>1%*D39</f>
        <v>13.790000000000001</v>
      </c>
      <c r="H40" s="26">
        <f>F40+G40</f>
        <v>68.95</v>
      </c>
      <c r="I40" s="19">
        <v>0</v>
      </c>
      <c r="J40" s="19"/>
      <c r="K40" s="19"/>
      <c r="L40" s="19">
        <v>4</v>
      </c>
      <c r="M40" s="19">
        <f>SUM(I40:L40)</f>
        <v>4</v>
      </c>
      <c r="N40" s="35"/>
      <c r="O40" s="401"/>
      <c r="P40" s="234">
        <f t="shared" si="10"/>
        <v>10227353.5</v>
      </c>
      <c r="Q40" s="16"/>
    </row>
    <row r="41" spans="1:20" ht="15" customHeight="1" x14ac:dyDescent="0.3">
      <c r="A41" s="13"/>
      <c r="B41" s="14" t="s">
        <v>60</v>
      </c>
      <c r="C41" s="15" t="s">
        <v>55</v>
      </c>
      <c r="D41" s="26">
        <f>312.6+146.93</f>
        <v>459.53000000000003</v>
      </c>
      <c r="E41" s="50" t="s">
        <v>52</v>
      </c>
      <c r="F41" s="19">
        <f>5%*D41</f>
        <v>22.976500000000001</v>
      </c>
      <c r="G41" s="26">
        <f>9%*D41</f>
        <v>41.357700000000001</v>
      </c>
      <c r="H41" s="26">
        <f t="shared" si="11"/>
        <v>64.33420000000001</v>
      </c>
      <c r="I41" s="19">
        <v>0</v>
      </c>
      <c r="J41" s="19">
        <v>0</v>
      </c>
      <c r="K41" s="19">
        <v>5</v>
      </c>
      <c r="L41" s="19">
        <v>5</v>
      </c>
      <c r="M41" s="19">
        <f t="shared" si="12"/>
        <v>10</v>
      </c>
      <c r="N41" s="35"/>
      <c r="O41" s="401"/>
      <c r="P41" s="234">
        <f t="shared" si="10"/>
        <v>30672938.205000002</v>
      </c>
      <c r="Q41" s="16"/>
    </row>
    <row r="42" spans="1:20" ht="16.5" customHeight="1" x14ac:dyDescent="0.3">
      <c r="A42" s="13"/>
      <c r="B42" s="14"/>
      <c r="C42" s="15"/>
      <c r="D42" s="26"/>
      <c r="E42" s="47" t="s">
        <v>235</v>
      </c>
      <c r="F42" s="26">
        <f>5%*D41</f>
        <v>22.976500000000001</v>
      </c>
      <c r="G42" s="26">
        <f>15%*D41</f>
        <v>68.929500000000004</v>
      </c>
      <c r="H42" s="26">
        <f>SUM(F42:G42)</f>
        <v>91.906000000000006</v>
      </c>
      <c r="I42" s="19"/>
      <c r="J42" s="19"/>
      <c r="K42" s="19"/>
      <c r="L42" s="19">
        <v>5</v>
      </c>
      <c r="M42" s="19">
        <f>SUM(I42:L42)</f>
        <v>5</v>
      </c>
      <c r="N42" s="35"/>
      <c r="O42" s="400"/>
      <c r="P42" s="234">
        <f t="shared" si="10"/>
        <v>51121563.675000004</v>
      </c>
      <c r="Q42" s="16"/>
    </row>
    <row r="43" spans="1:20" ht="15" customHeight="1" x14ac:dyDescent="0.3">
      <c r="A43" s="13"/>
      <c r="B43" s="14" t="s">
        <v>61</v>
      </c>
      <c r="C43" s="15" t="s">
        <v>27</v>
      </c>
      <c r="D43" s="26">
        <f>650.7+162.25</f>
        <v>812.95</v>
      </c>
      <c r="E43" s="50" t="s">
        <v>52</v>
      </c>
      <c r="F43" s="19">
        <f>8%*D43</f>
        <v>65.036000000000001</v>
      </c>
      <c r="G43" s="26">
        <f>20%*D43</f>
        <v>162.59000000000003</v>
      </c>
      <c r="H43" s="26">
        <f t="shared" si="11"/>
        <v>227.62600000000003</v>
      </c>
      <c r="I43" s="19">
        <v>0</v>
      </c>
      <c r="J43" s="19">
        <v>0</v>
      </c>
      <c r="K43" s="19">
        <v>0</v>
      </c>
      <c r="L43" s="19">
        <v>6</v>
      </c>
      <c r="M43" s="19">
        <f t="shared" si="12"/>
        <v>6</v>
      </c>
      <c r="N43" s="35"/>
      <c r="O43" s="36"/>
      <c r="P43" s="234">
        <f t="shared" si="10"/>
        <v>120584873.5</v>
      </c>
      <c r="Q43" s="16"/>
    </row>
    <row r="44" spans="1:20" ht="16.5" customHeight="1" x14ac:dyDescent="0.3">
      <c r="A44" s="13"/>
      <c r="B44" s="14" t="s">
        <v>62</v>
      </c>
      <c r="C44" s="15" t="s">
        <v>28</v>
      </c>
      <c r="D44" s="26">
        <f>876+634.6+5</f>
        <v>1515.6</v>
      </c>
      <c r="E44" s="50" t="s">
        <v>52</v>
      </c>
      <c r="F44" s="19">
        <f>7%*D44</f>
        <v>106.092</v>
      </c>
      <c r="G44" s="26">
        <f>10%*D44</f>
        <v>151.56</v>
      </c>
      <c r="H44" s="26">
        <f t="shared" si="11"/>
        <v>257.65199999999999</v>
      </c>
      <c r="I44" s="19">
        <v>0</v>
      </c>
      <c r="J44" s="19">
        <v>0</v>
      </c>
      <c r="K44" s="19"/>
      <c r="L44" s="19">
        <v>6</v>
      </c>
      <c r="M44" s="19">
        <f t="shared" si="12"/>
        <v>6</v>
      </c>
      <c r="N44" s="35">
        <v>2</v>
      </c>
      <c r="O44" s="399" t="s">
        <v>643</v>
      </c>
      <c r="P44" s="234">
        <f t="shared" si="10"/>
        <v>112404474</v>
      </c>
      <c r="Q44" s="16"/>
    </row>
    <row r="45" spans="1:20" ht="16.5" customHeight="1" x14ac:dyDescent="0.3">
      <c r="A45" s="13"/>
      <c r="B45" s="14" t="s">
        <v>63</v>
      </c>
      <c r="C45" s="15" t="s">
        <v>29</v>
      </c>
      <c r="D45" s="26">
        <f>1576+278.5</f>
        <v>1854.5</v>
      </c>
      <c r="E45" s="50" t="s">
        <v>52</v>
      </c>
      <c r="F45" s="19">
        <f>3%*D45</f>
        <v>55.634999999999998</v>
      </c>
      <c r="G45" s="26">
        <f>10%*D45</f>
        <v>185.45000000000002</v>
      </c>
      <c r="H45" s="26">
        <f t="shared" si="11"/>
        <v>241.08500000000001</v>
      </c>
      <c r="I45" s="19">
        <v>0</v>
      </c>
      <c r="J45" s="19">
        <v>0</v>
      </c>
      <c r="K45" s="19"/>
      <c r="L45" s="19">
        <v>7</v>
      </c>
      <c r="M45" s="19">
        <f t="shared" si="12"/>
        <v>7</v>
      </c>
      <c r="N45" s="35"/>
      <c r="O45" s="401"/>
      <c r="P45" s="234">
        <f t="shared" si="10"/>
        <v>137538992.5</v>
      </c>
      <c r="Q45" s="16"/>
    </row>
    <row r="46" spans="1:20" ht="13.5" customHeight="1" x14ac:dyDescent="0.3">
      <c r="A46" s="13"/>
      <c r="B46" s="14"/>
      <c r="C46" s="15"/>
      <c r="D46" s="26"/>
      <c r="E46" s="47" t="s">
        <v>234</v>
      </c>
      <c r="F46" s="19">
        <f>7%*D45</f>
        <v>129.81500000000003</v>
      </c>
      <c r="G46" s="26">
        <f>10%*D44</f>
        <v>151.56</v>
      </c>
      <c r="H46" s="26">
        <f>F46+G46</f>
        <v>281.375</v>
      </c>
      <c r="I46" s="19"/>
      <c r="J46" s="19">
        <v>0</v>
      </c>
      <c r="K46" s="19">
        <v>0</v>
      </c>
      <c r="L46" s="19">
        <v>5</v>
      </c>
      <c r="M46" s="19">
        <f t="shared" ref="M46" si="13">SUM(I46:L46)</f>
        <v>5</v>
      </c>
      <c r="N46" s="35"/>
      <c r="O46" s="401"/>
      <c r="P46" s="234">
        <f t="shared" si="10"/>
        <v>112404474</v>
      </c>
      <c r="Q46" s="16"/>
    </row>
    <row r="47" spans="1:20" ht="16.5" customHeight="1" x14ac:dyDescent="0.3">
      <c r="A47" s="13"/>
      <c r="B47" s="14" t="s">
        <v>64</v>
      </c>
      <c r="C47" s="15" t="s">
        <v>56</v>
      </c>
      <c r="D47" s="26">
        <f>274.6+53.7+42</f>
        <v>370.3</v>
      </c>
      <c r="E47" s="50" t="s">
        <v>52</v>
      </c>
      <c r="F47" s="19">
        <f>7%*D47</f>
        <v>25.921000000000003</v>
      </c>
      <c r="G47" s="26">
        <f>10%*D47</f>
        <v>37.03</v>
      </c>
      <c r="H47" s="26">
        <f t="shared" si="11"/>
        <v>62.951000000000008</v>
      </c>
      <c r="I47" s="19">
        <v>0</v>
      </c>
      <c r="J47" s="19"/>
      <c r="K47" s="19"/>
      <c r="L47" s="19">
        <v>0</v>
      </c>
      <c r="M47" s="19">
        <f t="shared" si="12"/>
        <v>0</v>
      </c>
      <c r="N47" s="35"/>
      <c r="O47" s="401"/>
      <c r="P47" s="234">
        <f t="shared" si="10"/>
        <v>27463299.5</v>
      </c>
      <c r="Q47" s="16"/>
    </row>
    <row r="48" spans="1:20" ht="18" customHeight="1" x14ac:dyDescent="0.3">
      <c r="A48" s="13"/>
      <c r="B48" s="14" t="s">
        <v>65</v>
      </c>
      <c r="C48" s="15" t="s">
        <v>30</v>
      </c>
      <c r="D48" s="26">
        <f>1500.5+566.7</f>
        <v>2067.1999999999998</v>
      </c>
      <c r="E48" s="50" t="s">
        <v>52</v>
      </c>
      <c r="F48" s="19">
        <f>5%*D48</f>
        <v>103.36</v>
      </c>
      <c r="G48" s="26">
        <f>10%*D48</f>
        <v>206.72</v>
      </c>
      <c r="H48" s="26">
        <f t="shared" si="11"/>
        <v>310.08</v>
      </c>
      <c r="I48" s="19">
        <v>0</v>
      </c>
      <c r="J48" s="19">
        <v>0</v>
      </c>
      <c r="K48" s="19">
        <v>0</v>
      </c>
      <c r="L48" s="19">
        <v>5</v>
      </c>
      <c r="M48" s="19">
        <f t="shared" si="12"/>
        <v>5</v>
      </c>
      <c r="N48" s="35"/>
      <c r="O48" s="401"/>
      <c r="P48" s="234">
        <f t="shared" si="10"/>
        <v>153313888</v>
      </c>
      <c r="Q48" s="16"/>
    </row>
    <row r="49" spans="1:17" ht="18" customHeight="1" x14ac:dyDescent="0.3">
      <c r="A49" s="13"/>
      <c r="B49" s="14"/>
      <c r="C49" s="15"/>
      <c r="D49" s="26"/>
      <c r="E49" s="47" t="s">
        <v>624</v>
      </c>
      <c r="F49" s="19">
        <f>10%*D48</f>
        <v>206.72</v>
      </c>
      <c r="G49" s="26">
        <f>10%*D48</f>
        <v>206.72</v>
      </c>
      <c r="H49" s="26">
        <f>F49+G49</f>
        <v>413.44</v>
      </c>
      <c r="I49" s="19">
        <v>0</v>
      </c>
      <c r="J49" s="19"/>
      <c r="K49" s="19"/>
      <c r="L49" s="19">
        <v>3</v>
      </c>
      <c r="M49" s="19">
        <f>SUM(I49:L49)</f>
        <v>3</v>
      </c>
      <c r="N49" s="35"/>
      <c r="O49" s="401"/>
      <c r="P49" s="234">
        <f t="shared" si="10"/>
        <v>153313888</v>
      </c>
      <c r="Q49" s="16"/>
    </row>
    <row r="50" spans="1:17" ht="18.75" customHeight="1" x14ac:dyDescent="0.3">
      <c r="A50" s="13"/>
      <c r="B50" s="14" t="s">
        <v>66</v>
      </c>
      <c r="C50" s="15" t="s">
        <v>31</v>
      </c>
      <c r="D50" s="26">
        <f>1214.5+386.5</f>
        <v>1601</v>
      </c>
      <c r="E50" s="50" t="s">
        <v>52</v>
      </c>
      <c r="F50" s="19">
        <f>6%*D50</f>
        <v>96.06</v>
      </c>
      <c r="G50" s="26">
        <f>9%*D50</f>
        <v>144.09</v>
      </c>
      <c r="H50" s="26">
        <f t="shared" si="11"/>
        <v>240.15</v>
      </c>
      <c r="I50" s="19">
        <v>0</v>
      </c>
      <c r="J50" s="19">
        <v>0</v>
      </c>
      <c r="K50" s="19">
        <v>0</v>
      </c>
      <c r="L50" s="19">
        <v>0</v>
      </c>
      <c r="M50" s="19">
        <f t="shared" si="12"/>
        <v>0</v>
      </c>
      <c r="N50" s="35"/>
      <c r="O50" s="401"/>
      <c r="P50" s="234">
        <f t="shared" si="10"/>
        <v>106864348.49999999</v>
      </c>
      <c r="Q50" s="16"/>
    </row>
    <row r="51" spans="1:17" ht="16.5" customHeight="1" x14ac:dyDescent="0.3">
      <c r="A51" s="13"/>
      <c r="B51" s="14" t="s">
        <v>67</v>
      </c>
      <c r="C51" s="15" t="s">
        <v>32</v>
      </c>
      <c r="D51" s="26">
        <f>998.9+79.5</f>
        <v>1078.4000000000001</v>
      </c>
      <c r="E51" s="50" t="s">
        <v>52</v>
      </c>
      <c r="F51" s="19">
        <f>8%*D51</f>
        <v>86.272000000000006</v>
      </c>
      <c r="G51" s="26">
        <f>9%*D51</f>
        <v>97.056000000000012</v>
      </c>
      <c r="H51" s="26">
        <f t="shared" si="11"/>
        <v>183.32800000000003</v>
      </c>
      <c r="I51" s="19">
        <v>0</v>
      </c>
      <c r="J51" s="19">
        <v>0</v>
      </c>
      <c r="K51" s="19">
        <v>0</v>
      </c>
      <c r="L51" s="19">
        <v>0</v>
      </c>
      <c r="M51" s="19">
        <f t="shared" si="12"/>
        <v>0</v>
      </c>
      <c r="N51" s="35"/>
      <c r="O51" s="401"/>
      <c r="P51" s="234">
        <f t="shared" si="10"/>
        <v>71981582.400000006</v>
      </c>
      <c r="Q51" s="16"/>
    </row>
    <row r="52" spans="1:17" ht="18.75" customHeight="1" x14ac:dyDescent="0.3">
      <c r="A52" s="13"/>
      <c r="B52" s="14" t="s">
        <v>68</v>
      </c>
      <c r="C52" s="15" t="s">
        <v>33</v>
      </c>
      <c r="D52" s="26">
        <f>1314+57.5</f>
        <v>1371.5</v>
      </c>
      <c r="E52" s="50" t="s">
        <v>52</v>
      </c>
      <c r="F52" s="19">
        <f>10%*D52</f>
        <v>137.15</v>
      </c>
      <c r="G52" s="26">
        <f>11%*D52</f>
        <v>150.86500000000001</v>
      </c>
      <c r="H52" s="26">
        <f t="shared" si="11"/>
        <v>288.01499999999999</v>
      </c>
      <c r="I52" s="19">
        <v>0</v>
      </c>
      <c r="J52" s="19"/>
      <c r="K52" s="19">
        <v>0</v>
      </c>
      <c r="L52" s="19">
        <v>0</v>
      </c>
      <c r="M52" s="19">
        <f t="shared" si="12"/>
        <v>0</v>
      </c>
      <c r="N52" s="35"/>
      <c r="O52" s="401"/>
      <c r="P52" s="234">
        <f t="shared" si="10"/>
        <v>111889027.25</v>
      </c>
      <c r="Q52" s="16"/>
    </row>
    <row r="53" spans="1:17" ht="16.5" customHeight="1" x14ac:dyDescent="0.3">
      <c r="A53" s="13"/>
      <c r="B53" s="14" t="s">
        <v>69</v>
      </c>
      <c r="C53" s="15" t="s">
        <v>34</v>
      </c>
      <c r="D53" s="26">
        <f>1892.1+376</f>
        <v>2268.1</v>
      </c>
      <c r="E53" s="50" t="s">
        <v>52</v>
      </c>
      <c r="F53" s="19">
        <f>4%*D53</f>
        <v>90.724000000000004</v>
      </c>
      <c r="G53" s="26">
        <f>20%*D53</f>
        <v>453.62</v>
      </c>
      <c r="H53" s="26">
        <f t="shared" si="11"/>
        <v>544.34400000000005</v>
      </c>
      <c r="I53" s="19">
        <v>0</v>
      </c>
      <c r="J53" s="19"/>
      <c r="K53" s="19"/>
      <c r="L53" s="19">
        <v>5</v>
      </c>
      <c r="M53" s="19">
        <f t="shared" si="12"/>
        <v>5</v>
      </c>
      <c r="N53" s="35"/>
      <c r="O53" s="401"/>
      <c r="P53" s="234">
        <f t="shared" si="10"/>
        <v>336427273</v>
      </c>
      <c r="Q53" s="16"/>
    </row>
    <row r="54" spans="1:17" ht="16.5" customHeight="1" x14ac:dyDescent="0.3">
      <c r="A54" s="13"/>
      <c r="B54" s="14" t="s">
        <v>70</v>
      </c>
      <c r="C54" s="15" t="s">
        <v>35</v>
      </c>
      <c r="D54" s="26">
        <f>1558+185.25</f>
        <v>1743.25</v>
      </c>
      <c r="E54" s="50" t="s">
        <v>52</v>
      </c>
      <c r="F54" s="19">
        <f>4%*D54</f>
        <v>69.73</v>
      </c>
      <c r="G54" s="26">
        <f>15%*D54</f>
        <v>261.48750000000001</v>
      </c>
      <c r="H54" s="26">
        <f t="shared" si="11"/>
        <v>331.21750000000003</v>
      </c>
      <c r="I54" s="19">
        <v>0</v>
      </c>
      <c r="J54" s="19">
        <v>0</v>
      </c>
      <c r="K54" s="19">
        <v>0</v>
      </c>
      <c r="L54" s="19">
        <v>0</v>
      </c>
      <c r="M54" s="19">
        <f t="shared" si="12"/>
        <v>0</v>
      </c>
      <c r="N54" s="35"/>
      <c r="O54" s="401"/>
      <c r="P54" s="234">
        <f t="shared" si="10"/>
        <v>193932204.375</v>
      </c>
      <c r="Q54" s="16"/>
    </row>
    <row r="55" spans="1:17" ht="17.25" customHeight="1" x14ac:dyDescent="0.3">
      <c r="A55" s="13"/>
      <c r="B55" s="14" t="s">
        <v>71</v>
      </c>
      <c r="C55" s="15" t="s">
        <v>21</v>
      </c>
      <c r="D55" s="26">
        <f>1972+130</f>
        <v>2102</v>
      </c>
      <c r="E55" s="50" t="s">
        <v>52</v>
      </c>
      <c r="F55" s="19">
        <f>4%*D55</f>
        <v>84.08</v>
      </c>
      <c r="G55" s="26">
        <f>11%*D55</f>
        <v>231.22</v>
      </c>
      <c r="H55" s="26">
        <f t="shared" si="11"/>
        <v>315.3</v>
      </c>
      <c r="I55" s="19">
        <v>0</v>
      </c>
      <c r="J55" s="19">
        <v>0</v>
      </c>
      <c r="K55" s="19">
        <v>0</v>
      </c>
      <c r="L55" s="19">
        <v>0</v>
      </c>
      <c r="M55" s="19">
        <f t="shared" si="12"/>
        <v>0</v>
      </c>
      <c r="N55" s="35"/>
      <c r="O55" s="401"/>
      <c r="P55" s="234">
        <f t="shared" si="10"/>
        <v>171484313</v>
      </c>
      <c r="Q55" s="16"/>
    </row>
    <row r="56" spans="1:17" ht="22.5" customHeight="1" x14ac:dyDescent="0.3">
      <c r="A56" s="13"/>
      <c r="B56" s="14" t="s">
        <v>72</v>
      </c>
      <c r="C56" s="15" t="s">
        <v>42</v>
      </c>
      <c r="D56" s="26">
        <f>773.1+303.8</f>
        <v>1076.9000000000001</v>
      </c>
      <c r="E56" s="50" t="s">
        <v>52</v>
      </c>
      <c r="F56" s="19">
        <f>5%*D56</f>
        <v>53.845000000000006</v>
      </c>
      <c r="G56" s="26">
        <f>15%*D56</f>
        <v>161.535</v>
      </c>
      <c r="H56" s="26">
        <f t="shared" si="11"/>
        <v>215.38</v>
      </c>
      <c r="I56" s="19">
        <v>0</v>
      </c>
      <c r="J56" s="19">
        <v>0</v>
      </c>
      <c r="K56" s="19">
        <v>0</v>
      </c>
      <c r="L56" s="19">
        <v>3</v>
      </c>
      <c r="M56" s="19">
        <f t="shared" si="12"/>
        <v>3</v>
      </c>
      <c r="N56" s="35"/>
      <c r="O56" s="400"/>
      <c r="P56" s="234">
        <f t="shared" si="10"/>
        <v>119802432.74999999</v>
      </c>
      <c r="Q56" s="16"/>
    </row>
    <row r="57" spans="1:17" ht="16.5" customHeight="1" x14ac:dyDescent="0.3">
      <c r="A57" s="13"/>
      <c r="B57" s="14" t="s">
        <v>73</v>
      </c>
      <c r="C57" s="15" t="s">
        <v>105</v>
      </c>
      <c r="D57" s="26">
        <f>153.8+8.7</f>
        <v>162.5</v>
      </c>
      <c r="E57" s="50" t="s">
        <v>52</v>
      </c>
      <c r="F57" s="19">
        <f>7%*D57</f>
        <v>11.375000000000002</v>
      </c>
      <c r="G57" s="26">
        <f>10%*D57</f>
        <v>16.25</v>
      </c>
      <c r="H57" s="26">
        <f t="shared" si="11"/>
        <v>27.625</v>
      </c>
      <c r="I57" s="19">
        <v>0</v>
      </c>
      <c r="J57" s="19">
        <v>0</v>
      </c>
      <c r="K57" s="19">
        <v>0</v>
      </c>
      <c r="L57" s="19">
        <v>6</v>
      </c>
      <c r="M57" s="19">
        <f t="shared" si="12"/>
        <v>6</v>
      </c>
      <c r="N57" s="35"/>
      <c r="O57" s="36"/>
      <c r="P57" s="234">
        <f t="shared" si="10"/>
        <v>12051812.499999998</v>
      </c>
      <c r="Q57" s="16"/>
    </row>
    <row r="58" spans="1:17" ht="16.5" customHeight="1" x14ac:dyDescent="0.3">
      <c r="A58" s="13"/>
      <c r="B58" s="14" t="s">
        <v>74</v>
      </c>
      <c r="C58" s="15" t="s">
        <v>110</v>
      </c>
      <c r="D58" s="26">
        <f>695+48.2</f>
        <v>743.2</v>
      </c>
      <c r="E58" s="50" t="s">
        <v>52</v>
      </c>
      <c r="F58" s="19">
        <f>10%*D58</f>
        <v>74.320000000000007</v>
      </c>
      <c r="G58" s="26">
        <f>10%*D58</f>
        <v>74.320000000000007</v>
      </c>
      <c r="H58" s="26">
        <f t="shared" si="11"/>
        <v>148.64000000000001</v>
      </c>
      <c r="I58" s="19">
        <v>0</v>
      </c>
      <c r="J58" s="19">
        <v>0</v>
      </c>
      <c r="K58" s="19">
        <v>0</v>
      </c>
      <c r="L58" s="19">
        <v>0</v>
      </c>
      <c r="M58" s="19">
        <f t="shared" si="12"/>
        <v>0</v>
      </c>
      <c r="N58" s="35">
        <v>3</v>
      </c>
      <c r="O58" s="399" t="s">
        <v>644</v>
      </c>
      <c r="P58" s="234">
        <f t="shared" si="10"/>
        <v>55119428.000000007</v>
      </c>
      <c r="Q58" s="16"/>
    </row>
    <row r="59" spans="1:17" ht="16.5" customHeight="1" x14ac:dyDescent="0.3">
      <c r="A59" s="13"/>
      <c r="B59" s="14" t="s">
        <v>75</v>
      </c>
      <c r="C59" s="15" t="s">
        <v>112</v>
      </c>
      <c r="D59" s="26">
        <f>375+14</f>
        <v>389</v>
      </c>
      <c r="E59" s="50" t="s">
        <v>52</v>
      </c>
      <c r="F59" s="19">
        <f>5%*D59</f>
        <v>19.450000000000003</v>
      </c>
      <c r="G59" s="26">
        <f>10%*D59</f>
        <v>38.900000000000006</v>
      </c>
      <c r="H59" s="26">
        <f t="shared" si="11"/>
        <v>58.350000000000009</v>
      </c>
      <c r="I59" s="19">
        <v>0</v>
      </c>
      <c r="J59" s="19">
        <v>0</v>
      </c>
      <c r="K59" s="19">
        <v>0</v>
      </c>
      <c r="L59" s="19">
        <v>0</v>
      </c>
      <c r="M59" s="19">
        <f t="shared" si="12"/>
        <v>0</v>
      </c>
      <c r="N59" s="35"/>
      <c r="O59" s="401"/>
      <c r="P59" s="234">
        <f t="shared" si="10"/>
        <v>28850185</v>
      </c>
      <c r="Q59" s="16"/>
    </row>
    <row r="60" spans="1:17" ht="16.5" customHeight="1" x14ac:dyDescent="0.3">
      <c r="A60" s="13"/>
      <c r="B60" s="14" t="s">
        <v>104</v>
      </c>
      <c r="C60" s="15" t="s">
        <v>114</v>
      </c>
      <c r="D60" s="26">
        <f>73.5</f>
        <v>73.5</v>
      </c>
      <c r="E60" s="50" t="s">
        <v>52</v>
      </c>
      <c r="F60" s="19">
        <f>9%*D60</f>
        <v>6.6149999999999993</v>
      </c>
      <c r="G60" s="26">
        <f>10%*D60</f>
        <v>7.3500000000000005</v>
      </c>
      <c r="H60" s="26">
        <f t="shared" si="11"/>
        <v>13.965</v>
      </c>
      <c r="I60" s="19">
        <v>0</v>
      </c>
      <c r="J60" s="19">
        <v>0</v>
      </c>
      <c r="K60" s="19">
        <v>0</v>
      </c>
      <c r="L60" s="19">
        <v>5</v>
      </c>
      <c r="M60" s="19">
        <f t="shared" si="12"/>
        <v>5</v>
      </c>
      <c r="N60" s="35"/>
      <c r="O60" s="401"/>
      <c r="P60" s="234">
        <f t="shared" si="10"/>
        <v>5451127.5</v>
      </c>
      <c r="Q60" s="16"/>
    </row>
    <row r="61" spans="1:17" ht="16.5" customHeight="1" x14ac:dyDescent="0.3">
      <c r="A61" s="13"/>
      <c r="B61" s="14" t="s">
        <v>106</v>
      </c>
      <c r="C61" s="15" t="s">
        <v>22</v>
      </c>
      <c r="D61" s="26">
        <f>1184.3+105</f>
        <v>1289.3</v>
      </c>
      <c r="E61" s="50" t="s">
        <v>52</v>
      </c>
      <c r="F61" s="19">
        <f>8%*D61</f>
        <v>103.14400000000001</v>
      </c>
      <c r="G61" s="26">
        <f>9%*D61</f>
        <v>116.03699999999999</v>
      </c>
      <c r="H61" s="26">
        <f t="shared" si="11"/>
        <v>219.18099999999998</v>
      </c>
      <c r="I61" s="19">
        <v>0</v>
      </c>
      <c r="J61" s="19">
        <v>0</v>
      </c>
      <c r="K61" s="19">
        <v>10</v>
      </c>
      <c r="L61" s="19">
        <v>5</v>
      </c>
      <c r="M61" s="19">
        <f t="shared" si="12"/>
        <v>15</v>
      </c>
      <c r="N61" s="35"/>
      <c r="O61" s="401"/>
      <c r="P61" s="234">
        <f t="shared" si="10"/>
        <v>86058841.049999982</v>
      </c>
      <c r="Q61" s="16"/>
    </row>
    <row r="62" spans="1:17" ht="14.25" customHeight="1" x14ac:dyDescent="0.3">
      <c r="A62" s="13"/>
      <c r="B62" s="14" t="s">
        <v>108</v>
      </c>
      <c r="C62" s="15" t="s">
        <v>180</v>
      </c>
      <c r="D62" s="26">
        <f>134.8+5</f>
        <v>139.80000000000001</v>
      </c>
      <c r="E62" s="47" t="s">
        <v>52</v>
      </c>
      <c r="F62" s="19">
        <f>5%*D62</f>
        <v>6.9900000000000011</v>
      </c>
      <c r="G62" s="26">
        <f>15%*D62</f>
        <v>20.970000000000002</v>
      </c>
      <c r="H62" s="26">
        <f t="shared" si="11"/>
        <v>27.960000000000004</v>
      </c>
      <c r="I62" s="19">
        <v>0</v>
      </c>
      <c r="J62" s="19">
        <v>0</v>
      </c>
      <c r="K62" s="19">
        <v>0</v>
      </c>
      <c r="L62" s="19">
        <v>5</v>
      </c>
      <c r="M62" s="19">
        <f t="shared" si="12"/>
        <v>5</v>
      </c>
      <c r="N62" s="35"/>
      <c r="O62" s="401"/>
      <c r="P62" s="234">
        <f t="shared" si="10"/>
        <v>15552400.5</v>
      </c>
      <c r="Q62" s="16"/>
    </row>
    <row r="63" spans="1:17" ht="16.5" customHeight="1" x14ac:dyDescent="0.3">
      <c r="A63" s="13"/>
      <c r="B63" s="14" t="s">
        <v>109</v>
      </c>
      <c r="C63" s="15" t="s">
        <v>43</v>
      </c>
      <c r="D63" s="26">
        <f>1195+218.6</f>
        <v>1413.6</v>
      </c>
      <c r="E63" s="50" t="s">
        <v>52</v>
      </c>
      <c r="F63" s="19">
        <f>6%*D63</f>
        <v>84.815999999999988</v>
      </c>
      <c r="G63" s="26">
        <f>10%*D63</f>
        <v>141.35999999999999</v>
      </c>
      <c r="H63" s="26">
        <f t="shared" si="11"/>
        <v>226.17599999999999</v>
      </c>
      <c r="I63" s="19">
        <v>0</v>
      </c>
      <c r="J63" s="19">
        <v>0</v>
      </c>
      <c r="K63" s="19">
        <v>0</v>
      </c>
      <c r="L63" s="19">
        <v>0</v>
      </c>
      <c r="M63" s="19">
        <f t="shared" si="12"/>
        <v>0</v>
      </c>
      <c r="N63" s="35"/>
      <c r="O63" s="400"/>
      <c r="P63" s="234">
        <f t="shared" si="10"/>
        <v>104839644</v>
      </c>
      <c r="Q63" s="16"/>
    </row>
    <row r="64" spans="1:17" ht="15.75" customHeight="1" x14ac:dyDescent="0.3">
      <c r="A64" s="13"/>
      <c r="B64" s="14" t="s">
        <v>111</v>
      </c>
      <c r="C64" s="15" t="s">
        <v>44</v>
      </c>
      <c r="D64" s="26">
        <f>1400.35+129.1</f>
        <v>1529.4499999999998</v>
      </c>
      <c r="E64" s="50" t="s">
        <v>52</v>
      </c>
      <c r="F64" s="19">
        <f>6%*D64</f>
        <v>91.766999999999982</v>
      </c>
      <c r="G64" s="26">
        <f>10%*D64</f>
        <v>152.94499999999999</v>
      </c>
      <c r="H64" s="26">
        <f t="shared" si="11"/>
        <v>244.71199999999999</v>
      </c>
      <c r="I64" s="19">
        <v>0</v>
      </c>
      <c r="J64" s="19">
        <v>0</v>
      </c>
      <c r="K64" s="19">
        <v>0</v>
      </c>
      <c r="L64" s="19">
        <v>6</v>
      </c>
      <c r="M64" s="19">
        <f t="shared" si="12"/>
        <v>6</v>
      </c>
      <c r="N64" s="35"/>
      <c r="O64" s="36"/>
      <c r="P64" s="234">
        <f t="shared" si="10"/>
        <v>113431659.24999999</v>
      </c>
      <c r="Q64" s="16"/>
    </row>
    <row r="65" spans="1:19" ht="16.5" customHeight="1" x14ac:dyDescent="0.3">
      <c r="A65" s="13"/>
      <c r="B65" s="14" t="s">
        <v>74</v>
      </c>
      <c r="C65" s="15" t="s">
        <v>43</v>
      </c>
      <c r="D65" s="26">
        <v>1189</v>
      </c>
      <c r="E65" s="50" t="s">
        <v>52</v>
      </c>
      <c r="F65" s="19">
        <f>5%*D65</f>
        <v>59.45</v>
      </c>
      <c r="G65" s="26">
        <f>8%*D65</f>
        <v>95.12</v>
      </c>
      <c r="H65" s="26">
        <f t="shared" si="11"/>
        <v>154.57</v>
      </c>
      <c r="I65" s="19">
        <v>0</v>
      </c>
      <c r="J65" s="19"/>
      <c r="K65" s="19"/>
      <c r="L65" s="19">
        <v>5</v>
      </c>
      <c r="M65" s="19">
        <f t="shared" si="12"/>
        <v>5</v>
      </c>
      <c r="N65" s="35"/>
      <c r="O65" s="36"/>
      <c r="P65" s="234">
        <f t="shared" si="10"/>
        <v>70545748.000000015</v>
      </c>
      <c r="Q65" s="16"/>
    </row>
    <row r="66" spans="1:19" ht="18.75" customHeight="1" x14ac:dyDescent="0.3">
      <c r="A66" s="89"/>
      <c r="B66" s="72" t="s">
        <v>347</v>
      </c>
      <c r="C66" s="72"/>
      <c r="D66" s="84">
        <f>SUM(D36:D65)</f>
        <v>30187.68</v>
      </c>
      <c r="E66" s="74"/>
      <c r="F66" s="83">
        <f>SUM(F43:F65)</f>
        <v>1768.367</v>
      </c>
      <c r="G66" s="83">
        <f t="shared" ref="G66:M66" si="14">SUM(G36:G65)</f>
        <v>4757.8146999999999</v>
      </c>
      <c r="H66" s="83">
        <f t="shared" si="14"/>
        <v>7027.7057000000004</v>
      </c>
      <c r="I66" s="83">
        <f t="shared" si="14"/>
        <v>0</v>
      </c>
      <c r="J66" s="83">
        <f t="shared" si="14"/>
        <v>0</v>
      </c>
      <c r="K66" s="83">
        <f t="shared" si="14"/>
        <v>30</v>
      </c>
      <c r="L66" s="83">
        <f t="shared" si="14"/>
        <v>111</v>
      </c>
      <c r="M66" s="83">
        <f t="shared" si="14"/>
        <v>141</v>
      </c>
      <c r="N66" s="76"/>
      <c r="O66" s="77"/>
      <c r="P66" s="184">
        <f>SUM(P36:P65)</f>
        <v>3528633272.2550001</v>
      </c>
      <c r="Q66" s="75"/>
    </row>
    <row r="67" spans="1:19" ht="18.75" customHeight="1" x14ac:dyDescent="0.3">
      <c r="A67" s="268"/>
      <c r="B67" s="177"/>
      <c r="C67" s="177"/>
      <c r="D67" s="269"/>
      <c r="E67" s="270"/>
      <c r="F67" s="178"/>
      <c r="G67" s="178"/>
      <c r="H67" s="178"/>
      <c r="I67" s="178"/>
      <c r="J67" s="178"/>
      <c r="K67" s="178"/>
      <c r="L67" s="178"/>
      <c r="M67" s="178"/>
      <c r="N67" s="270"/>
      <c r="O67" s="270"/>
      <c r="P67" s="271"/>
      <c r="Q67" s="177"/>
    </row>
    <row r="68" spans="1:19" ht="5.25" customHeight="1" x14ac:dyDescent="0.3">
      <c r="A68" s="150"/>
      <c r="D68" s="276"/>
      <c r="E68" s="41"/>
      <c r="F68" s="274"/>
      <c r="G68" s="274"/>
      <c r="H68" s="274"/>
      <c r="I68" s="274"/>
      <c r="J68" s="274"/>
      <c r="K68" s="274"/>
      <c r="L68" s="274"/>
      <c r="M68" s="274"/>
      <c r="N68" s="41"/>
      <c r="O68" s="41"/>
      <c r="P68" s="275"/>
    </row>
    <row r="69" spans="1:19" ht="13.5" customHeight="1" x14ac:dyDescent="0.3">
      <c r="A69" s="63">
        <v>4</v>
      </c>
      <c r="B69" s="64" t="s">
        <v>46</v>
      </c>
      <c r="C69" s="65"/>
      <c r="D69" s="66"/>
      <c r="E69" s="67"/>
      <c r="F69" s="82"/>
      <c r="G69" s="82"/>
      <c r="H69" s="82"/>
      <c r="I69" s="82"/>
      <c r="J69" s="82"/>
      <c r="K69" s="82"/>
      <c r="L69" s="82"/>
      <c r="M69" s="82"/>
      <c r="N69" s="69"/>
      <c r="O69" s="70"/>
      <c r="P69" s="233"/>
      <c r="Q69" s="68"/>
    </row>
    <row r="70" spans="1:19" ht="18.75" customHeight="1" x14ac:dyDescent="0.3">
      <c r="A70" s="102"/>
      <c r="B70" s="98" t="s">
        <v>57</v>
      </c>
      <c r="C70" s="99" t="s">
        <v>29</v>
      </c>
      <c r="D70" s="96">
        <v>175</v>
      </c>
      <c r="E70" s="101" t="s">
        <v>645</v>
      </c>
      <c r="F70" s="96">
        <f>2%*D70</f>
        <v>3.5</v>
      </c>
      <c r="G70" s="96">
        <f>3%*D70</f>
        <v>5.25</v>
      </c>
      <c r="H70" s="96">
        <f>SUM(F70:G70)</f>
        <v>8.75</v>
      </c>
      <c r="I70" s="97">
        <v>0</v>
      </c>
      <c r="J70" s="97"/>
      <c r="K70" s="97"/>
      <c r="L70" s="97">
        <v>4</v>
      </c>
      <c r="M70" s="97">
        <f t="shared" ref="M70:M79" si="15">SUM(I70:L70)</f>
        <v>4</v>
      </c>
      <c r="N70" s="35" t="s">
        <v>51</v>
      </c>
      <c r="O70" s="36" t="s">
        <v>229</v>
      </c>
      <c r="P70" s="234">
        <f>G70*1.036*20%*8000000</f>
        <v>8702400</v>
      </c>
      <c r="Q70" s="16"/>
    </row>
    <row r="71" spans="1:19" ht="16.5" customHeight="1" x14ac:dyDescent="0.3">
      <c r="A71" s="13"/>
      <c r="B71" s="14" t="s">
        <v>58</v>
      </c>
      <c r="C71" s="15" t="s">
        <v>33</v>
      </c>
      <c r="D71" s="26">
        <v>368</v>
      </c>
      <c r="E71" s="47" t="s">
        <v>185</v>
      </c>
      <c r="F71" s="26">
        <f>3%*D71</f>
        <v>11.04</v>
      </c>
      <c r="G71" s="26">
        <f>3%*D71</f>
        <v>11.04</v>
      </c>
      <c r="H71" s="26">
        <f t="shared" ref="H71:H79" si="16">SUM(F71:G71)</f>
        <v>22.08</v>
      </c>
      <c r="I71" s="19">
        <v>0</v>
      </c>
      <c r="J71" s="19"/>
      <c r="K71" s="19">
        <v>0</v>
      </c>
      <c r="L71" s="19">
        <v>6</v>
      </c>
      <c r="M71" s="19">
        <f t="shared" si="15"/>
        <v>6</v>
      </c>
      <c r="N71" s="35" t="s">
        <v>51</v>
      </c>
      <c r="O71" s="36" t="s">
        <v>138</v>
      </c>
      <c r="P71" s="234">
        <f>G71*1.036*20%*8000000</f>
        <v>18299903.999999996</v>
      </c>
      <c r="Q71" s="16"/>
    </row>
    <row r="72" spans="1:19" ht="17.25" customHeight="1" x14ac:dyDescent="0.3">
      <c r="A72" s="13"/>
      <c r="B72" s="98" t="s">
        <v>59</v>
      </c>
      <c r="C72" s="99" t="s">
        <v>42</v>
      </c>
      <c r="D72" s="96">
        <v>774.98</v>
      </c>
      <c r="E72" s="101" t="s">
        <v>645</v>
      </c>
      <c r="F72" s="96">
        <f>2%*D72</f>
        <v>15.499600000000001</v>
      </c>
      <c r="G72" s="97">
        <f>5%*D72</f>
        <v>38.749000000000002</v>
      </c>
      <c r="H72" s="96">
        <f t="shared" si="16"/>
        <v>54.248600000000003</v>
      </c>
      <c r="I72" s="97">
        <v>0</v>
      </c>
      <c r="J72" s="97"/>
      <c r="K72" s="97">
        <v>5</v>
      </c>
      <c r="L72" s="97">
        <v>4</v>
      </c>
      <c r="M72" s="97">
        <f t="shared" si="15"/>
        <v>9</v>
      </c>
      <c r="N72" s="35"/>
      <c r="O72" s="36"/>
      <c r="P72" s="234">
        <f>G72*1.036*20%*8000000</f>
        <v>64230342.400000013</v>
      </c>
      <c r="Q72" s="16"/>
    </row>
    <row r="73" spans="1:19" ht="18.75" customHeight="1" x14ac:dyDescent="0.3">
      <c r="A73" s="13"/>
      <c r="B73" s="98" t="s">
        <v>60</v>
      </c>
      <c r="C73" s="99" t="s">
        <v>21</v>
      </c>
      <c r="D73" s="96">
        <v>949.55</v>
      </c>
      <c r="E73" s="101" t="s">
        <v>645</v>
      </c>
      <c r="F73" s="96">
        <f>2%*D73</f>
        <v>18.991</v>
      </c>
      <c r="G73" s="97">
        <f>2%*D73</f>
        <v>18.991</v>
      </c>
      <c r="H73" s="96">
        <f t="shared" si="16"/>
        <v>37.981999999999999</v>
      </c>
      <c r="I73" s="97">
        <v>0</v>
      </c>
      <c r="J73" s="97"/>
      <c r="K73" s="97">
        <v>0</v>
      </c>
      <c r="L73" s="97">
        <v>8</v>
      </c>
      <c r="M73" s="97">
        <f t="shared" si="15"/>
        <v>8</v>
      </c>
      <c r="N73" s="35"/>
      <c r="O73" s="36"/>
      <c r="P73" s="234">
        <f t="shared" ref="P73:P76" si="17">G73*1.036*20%*8500000</f>
        <v>33446949.200000003</v>
      </c>
      <c r="Q73" s="16"/>
      <c r="S73" s="1" t="s">
        <v>641</v>
      </c>
    </row>
    <row r="74" spans="1:19" ht="12.75" customHeight="1" x14ac:dyDescent="0.3">
      <c r="A74" s="13"/>
      <c r="B74" s="98"/>
      <c r="C74" s="99"/>
      <c r="D74" s="96"/>
      <c r="E74" s="47" t="s">
        <v>185</v>
      </c>
      <c r="F74" s="96">
        <f>5%*D73</f>
        <v>47.477499999999999</v>
      </c>
      <c r="G74" s="96">
        <f>2%*D73</f>
        <v>18.991</v>
      </c>
      <c r="H74" s="96">
        <f>SUM(F74:G74)</f>
        <v>66.468500000000006</v>
      </c>
      <c r="I74" s="19">
        <v>0</v>
      </c>
      <c r="J74" s="19">
        <v>0</v>
      </c>
      <c r="K74" s="19">
        <v>0</v>
      </c>
      <c r="L74" s="19">
        <v>5</v>
      </c>
      <c r="M74" s="19">
        <f t="shared" si="15"/>
        <v>5</v>
      </c>
      <c r="N74" s="35"/>
      <c r="O74" s="36"/>
      <c r="P74" s="234">
        <f t="shared" si="17"/>
        <v>33446949.200000003</v>
      </c>
      <c r="Q74" s="16"/>
    </row>
    <row r="75" spans="1:19" ht="18.75" customHeight="1" x14ac:dyDescent="0.3">
      <c r="A75" s="16"/>
      <c r="B75" s="14" t="s">
        <v>61</v>
      </c>
      <c r="C75" s="15" t="s">
        <v>22</v>
      </c>
      <c r="D75" s="26">
        <v>1223.55</v>
      </c>
      <c r="E75" s="101" t="s">
        <v>645</v>
      </c>
      <c r="F75" s="26">
        <f>4%*D75</f>
        <v>48.942</v>
      </c>
      <c r="G75" s="19">
        <f>2%*D75</f>
        <v>24.471</v>
      </c>
      <c r="H75" s="26">
        <f t="shared" si="16"/>
        <v>73.412999999999997</v>
      </c>
      <c r="I75" s="19">
        <v>0</v>
      </c>
      <c r="J75" s="19"/>
      <c r="K75" s="19">
        <v>5</v>
      </c>
      <c r="L75" s="19">
        <v>4</v>
      </c>
      <c r="M75" s="19">
        <f t="shared" si="15"/>
        <v>9</v>
      </c>
      <c r="N75" s="35"/>
      <c r="O75" s="36"/>
      <c r="P75" s="234">
        <f t="shared" si="17"/>
        <v>43098325.200000003</v>
      </c>
      <c r="Q75" s="16"/>
    </row>
    <row r="76" spans="1:19" ht="18.75" customHeight="1" x14ac:dyDescent="0.3">
      <c r="A76" s="87"/>
      <c r="B76" s="55"/>
      <c r="C76" s="56"/>
      <c r="D76" s="57"/>
      <c r="E76" s="47" t="s">
        <v>185</v>
      </c>
      <c r="F76" s="26">
        <f>3%*D75</f>
        <v>36.706499999999998</v>
      </c>
      <c r="G76" s="19">
        <f>D75*2%</f>
        <v>24.471</v>
      </c>
      <c r="H76" s="26">
        <f>F76+G76</f>
        <v>61.177499999999995</v>
      </c>
      <c r="I76" s="19"/>
      <c r="J76" s="19"/>
      <c r="K76" s="19"/>
      <c r="L76" s="19"/>
      <c r="M76" s="19"/>
      <c r="N76" s="35"/>
      <c r="O76" s="36"/>
      <c r="P76" s="234">
        <f t="shared" si="17"/>
        <v>43098325.200000003</v>
      </c>
      <c r="Q76" s="16"/>
    </row>
    <row r="77" spans="1:19" ht="16.5" customHeight="1" x14ac:dyDescent="0.3">
      <c r="A77" s="87"/>
      <c r="B77" s="55" t="s">
        <v>62</v>
      </c>
      <c r="C77" s="56" t="s">
        <v>43</v>
      </c>
      <c r="D77" s="57">
        <v>133</v>
      </c>
      <c r="E77" s="101" t="s">
        <v>645</v>
      </c>
      <c r="F77" s="19">
        <f>4%*D77</f>
        <v>5.32</v>
      </c>
      <c r="G77" s="135">
        <f>1%*D77</f>
        <v>1.33</v>
      </c>
      <c r="H77" s="26">
        <f t="shared" si="16"/>
        <v>6.65</v>
      </c>
      <c r="I77" s="19">
        <v>0</v>
      </c>
      <c r="J77" s="19"/>
      <c r="K77" s="19">
        <v>0</v>
      </c>
      <c r="L77" s="19">
        <v>3</v>
      </c>
      <c r="M77" s="19">
        <f t="shared" si="15"/>
        <v>3</v>
      </c>
      <c r="N77" s="35"/>
      <c r="O77" s="36"/>
      <c r="P77" s="234">
        <f>G77*1.036*20%*8000000</f>
        <v>2204608.0000000005</v>
      </c>
      <c r="Q77" s="16"/>
    </row>
    <row r="78" spans="1:19" ht="17.25" customHeight="1" x14ac:dyDescent="0.3">
      <c r="A78" s="87"/>
      <c r="B78" s="14" t="s">
        <v>63</v>
      </c>
      <c r="C78" s="15" t="s">
        <v>44</v>
      </c>
      <c r="D78" s="26">
        <v>324.64999999999998</v>
      </c>
      <c r="E78" s="101" t="s">
        <v>645</v>
      </c>
      <c r="F78" s="135">
        <f>4%*D78</f>
        <v>12.985999999999999</v>
      </c>
      <c r="G78" s="19">
        <f>2%*D78</f>
        <v>6.4929999999999994</v>
      </c>
      <c r="H78" s="26">
        <f t="shared" si="16"/>
        <v>19.478999999999999</v>
      </c>
      <c r="I78" s="135">
        <v>0</v>
      </c>
      <c r="J78" s="135"/>
      <c r="K78" s="135">
        <v>0</v>
      </c>
      <c r="L78" s="135">
        <v>3</v>
      </c>
      <c r="M78" s="135">
        <f t="shared" ref="M78" si="18">SUM(I78:L78)</f>
        <v>3</v>
      </c>
      <c r="N78" s="80"/>
      <c r="O78" s="81"/>
      <c r="P78" s="234">
        <f>G78*1.036*20%*8000000</f>
        <v>10762796.800000001</v>
      </c>
      <c r="Q78" s="87"/>
    </row>
    <row r="79" spans="1:19" ht="21" customHeight="1" x14ac:dyDescent="0.3">
      <c r="A79" s="16"/>
      <c r="B79" s="14" t="s">
        <v>63</v>
      </c>
      <c r="C79" s="15" t="s">
        <v>32</v>
      </c>
      <c r="D79" s="26">
        <v>248.5</v>
      </c>
      <c r="E79" s="101" t="s">
        <v>645</v>
      </c>
      <c r="F79" s="135">
        <f>3%*D79</f>
        <v>7.4550000000000001</v>
      </c>
      <c r="G79" s="19">
        <f>2%*D79</f>
        <v>4.97</v>
      </c>
      <c r="H79" s="26">
        <f t="shared" si="16"/>
        <v>12.425000000000001</v>
      </c>
      <c r="I79" s="135">
        <v>0</v>
      </c>
      <c r="J79" s="135"/>
      <c r="K79" s="135">
        <v>0</v>
      </c>
      <c r="L79" s="135">
        <v>5</v>
      </c>
      <c r="M79" s="135">
        <f t="shared" si="15"/>
        <v>5</v>
      </c>
      <c r="N79" s="80"/>
      <c r="O79" s="81"/>
      <c r="P79" s="234">
        <f>G79*1.036*20%*8000000</f>
        <v>8238272</v>
      </c>
      <c r="Q79" s="87"/>
    </row>
    <row r="80" spans="1:19" ht="16.5" customHeight="1" x14ac:dyDescent="0.3">
      <c r="A80" s="75"/>
      <c r="B80" s="72" t="s">
        <v>348</v>
      </c>
      <c r="C80" s="72"/>
      <c r="D80" s="73">
        <f>SUM(D70:D79)</f>
        <v>4197.2299999999996</v>
      </c>
      <c r="E80" s="74"/>
      <c r="F80" s="73">
        <f t="shared" ref="F80:K80" si="19">SUM(F70:F79)</f>
        <v>207.91759999999999</v>
      </c>
      <c r="G80" s="83">
        <f t="shared" si="19"/>
        <v>154.756</v>
      </c>
      <c r="H80" s="73">
        <f t="shared" si="19"/>
        <v>362.67359999999996</v>
      </c>
      <c r="I80" s="83">
        <f t="shared" si="19"/>
        <v>0</v>
      </c>
      <c r="J80" s="83">
        <f t="shared" si="19"/>
        <v>0</v>
      </c>
      <c r="K80" s="83">
        <f t="shared" si="19"/>
        <v>10</v>
      </c>
      <c r="L80" s="83">
        <f>SUM(L69:L79)</f>
        <v>42</v>
      </c>
      <c r="M80" s="83">
        <f>SUM(M70:M79)</f>
        <v>52</v>
      </c>
      <c r="N80" s="76"/>
      <c r="O80" s="77"/>
      <c r="P80" s="184">
        <f>SUM(P70:P79)</f>
        <v>265528872</v>
      </c>
      <c r="Q80" s="75"/>
    </row>
    <row r="81" spans="1:20" ht="14.25" customHeight="1" x14ac:dyDescent="0.3">
      <c r="A81" s="63">
        <v>5</v>
      </c>
      <c r="B81" s="64" t="s">
        <v>96</v>
      </c>
      <c r="C81" s="65"/>
      <c r="D81" s="66"/>
      <c r="E81" s="67"/>
      <c r="F81" s="66"/>
      <c r="G81" s="66"/>
      <c r="H81" s="66"/>
      <c r="I81" s="82"/>
      <c r="J81" s="82"/>
      <c r="K81" s="82"/>
      <c r="L81" s="82"/>
      <c r="M81" s="82"/>
      <c r="N81" s="69"/>
      <c r="O81" s="70"/>
      <c r="P81" s="233"/>
      <c r="Q81" s="68"/>
    </row>
    <row r="82" spans="1:20" ht="27" customHeight="1" x14ac:dyDescent="0.3">
      <c r="A82" s="16"/>
      <c r="B82" s="14" t="s">
        <v>57</v>
      </c>
      <c r="C82" s="15" t="s">
        <v>22</v>
      </c>
      <c r="D82" s="26">
        <v>13.6</v>
      </c>
      <c r="E82" s="49" t="s">
        <v>187</v>
      </c>
      <c r="F82" s="26">
        <f>40%*D82</f>
        <v>5.44</v>
      </c>
      <c r="G82" s="26">
        <f>1%*D82</f>
        <v>0.13600000000000001</v>
      </c>
      <c r="H82" s="26">
        <f t="shared" ref="H82:H90" si="20">SUM(F82:G82)</f>
        <v>5.5760000000000005</v>
      </c>
      <c r="I82" s="19">
        <v>0</v>
      </c>
      <c r="J82" s="19"/>
      <c r="K82" s="19">
        <v>2</v>
      </c>
      <c r="L82" s="19">
        <v>2</v>
      </c>
      <c r="M82" s="19">
        <f>SUM(I82:L82)</f>
        <v>4</v>
      </c>
      <c r="N82" s="35"/>
      <c r="O82" s="36"/>
      <c r="P82" s="161">
        <f t="shared" ref="P82:P90" si="21">G82*0.486*30%*40000000</f>
        <v>793152</v>
      </c>
      <c r="Q82" s="16"/>
    </row>
    <row r="83" spans="1:20" ht="27.75" customHeight="1" x14ac:dyDescent="0.3">
      <c r="A83" s="16"/>
      <c r="B83" s="14" t="s">
        <v>58</v>
      </c>
      <c r="C83" s="15" t="s">
        <v>21</v>
      </c>
      <c r="D83" s="26">
        <v>24.61</v>
      </c>
      <c r="E83" s="49" t="s">
        <v>187</v>
      </c>
      <c r="F83" s="26">
        <f>10%*D83</f>
        <v>2.4610000000000003</v>
      </c>
      <c r="G83" s="26">
        <f>7%*D83</f>
        <v>1.7227000000000001</v>
      </c>
      <c r="H83" s="26">
        <f t="shared" si="20"/>
        <v>4.1837</v>
      </c>
      <c r="I83" s="19">
        <v>0</v>
      </c>
      <c r="J83" s="19"/>
      <c r="K83" s="19">
        <v>2</v>
      </c>
      <c r="L83" s="19">
        <v>2</v>
      </c>
      <c r="M83" s="19">
        <f t="shared" ref="M83:M90" si="22">SUM(I83:L83)</f>
        <v>4</v>
      </c>
      <c r="N83" s="35"/>
      <c r="O83" s="40" t="s">
        <v>50</v>
      </c>
      <c r="P83" s="161">
        <f t="shared" si="21"/>
        <v>10046786.399999999</v>
      </c>
      <c r="Q83" s="16"/>
      <c r="S83" s="1" t="s">
        <v>636</v>
      </c>
      <c r="T83" s="1" t="s">
        <v>637</v>
      </c>
    </row>
    <row r="84" spans="1:20" ht="25.5" customHeight="1" x14ac:dyDescent="0.3">
      <c r="A84" s="16"/>
      <c r="B84" s="14"/>
      <c r="C84" s="15"/>
      <c r="D84" s="26"/>
      <c r="E84" s="49" t="s">
        <v>631</v>
      </c>
      <c r="F84" s="96">
        <f>5%*D83</f>
        <v>1.2305000000000001</v>
      </c>
      <c r="G84" s="96">
        <f>7%*D83</f>
        <v>1.7227000000000001</v>
      </c>
      <c r="H84" s="96">
        <f t="shared" si="20"/>
        <v>2.9532000000000003</v>
      </c>
      <c r="I84" s="97">
        <v>0</v>
      </c>
      <c r="J84" s="97">
        <v>0</v>
      </c>
      <c r="K84" s="97">
        <v>0</v>
      </c>
      <c r="L84" s="97">
        <v>1</v>
      </c>
      <c r="M84" s="97">
        <f t="shared" si="22"/>
        <v>1</v>
      </c>
      <c r="N84" s="35"/>
      <c r="O84" s="36"/>
      <c r="P84" s="161">
        <f t="shared" si="21"/>
        <v>10046786.399999999</v>
      </c>
      <c r="Q84" s="16"/>
      <c r="T84" s="1" t="s">
        <v>638</v>
      </c>
    </row>
    <row r="85" spans="1:20" ht="27.75" customHeight="1" x14ac:dyDescent="0.3">
      <c r="A85" s="16"/>
      <c r="B85" s="14" t="s">
        <v>59</v>
      </c>
      <c r="C85" s="15" t="s">
        <v>43</v>
      </c>
      <c r="D85" s="26">
        <v>22.64</v>
      </c>
      <c r="E85" s="49" t="s">
        <v>187</v>
      </c>
      <c r="F85" s="96">
        <f>10%*D85</f>
        <v>2.2640000000000002</v>
      </c>
      <c r="G85" s="26">
        <f>5%*D85</f>
        <v>1.1320000000000001</v>
      </c>
      <c r="H85" s="26">
        <f t="shared" si="20"/>
        <v>3.3960000000000004</v>
      </c>
      <c r="I85" s="19">
        <v>0</v>
      </c>
      <c r="J85" s="19"/>
      <c r="K85" s="19"/>
      <c r="L85" s="19">
        <v>1</v>
      </c>
      <c r="M85" s="19">
        <f t="shared" si="22"/>
        <v>1</v>
      </c>
      <c r="N85" s="35"/>
      <c r="O85" s="40" t="s">
        <v>137</v>
      </c>
      <c r="P85" s="161">
        <f t="shared" si="21"/>
        <v>6601824.0000000009</v>
      </c>
      <c r="Q85" s="16"/>
    </row>
    <row r="86" spans="1:20" ht="30" customHeight="1" x14ac:dyDescent="0.3">
      <c r="A86" s="16"/>
      <c r="B86" s="14" t="s">
        <v>60</v>
      </c>
      <c r="C86" s="15" t="s">
        <v>44</v>
      </c>
      <c r="D86" s="26">
        <v>33</v>
      </c>
      <c r="E86" s="49" t="s">
        <v>187</v>
      </c>
      <c r="F86" s="26">
        <f>9%*D86</f>
        <v>2.9699999999999998</v>
      </c>
      <c r="G86" s="26">
        <f>7%*D86</f>
        <v>2.31</v>
      </c>
      <c r="H86" s="26">
        <f t="shared" si="20"/>
        <v>5.2799999999999994</v>
      </c>
      <c r="I86" s="19">
        <v>0</v>
      </c>
      <c r="J86" s="19">
        <v>0</v>
      </c>
      <c r="K86" s="19">
        <v>0</v>
      </c>
      <c r="L86" s="19">
        <v>2</v>
      </c>
      <c r="M86" s="19">
        <f t="shared" si="22"/>
        <v>2</v>
      </c>
      <c r="N86" s="35"/>
      <c r="O86" s="36" t="s">
        <v>145</v>
      </c>
      <c r="P86" s="161">
        <f t="shared" si="21"/>
        <v>13471920</v>
      </c>
      <c r="Q86" s="16"/>
    </row>
    <row r="87" spans="1:20" ht="30.75" customHeight="1" x14ac:dyDescent="0.3">
      <c r="A87" s="16"/>
      <c r="B87" s="14" t="s">
        <v>61</v>
      </c>
      <c r="C87" s="15" t="s">
        <v>33</v>
      </c>
      <c r="D87" s="26">
        <v>8.3000000000000007</v>
      </c>
      <c r="E87" s="49" t="s">
        <v>187</v>
      </c>
      <c r="F87" s="26">
        <f>10%*D87</f>
        <v>0.83000000000000007</v>
      </c>
      <c r="G87" s="26">
        <f>7%*D87</f>
        <v>0.58100000000000007</v>
      </c>
      <c r="H87" s="26">
        <f t="shared" si="20"/>
        <v>1.411</v>
      </c>
      <c r="I87" s="19">
        <v>0</v>
      </c>
      <c r="J87" s="19">
        <v>0</v>
      </c>
      <c r="K87" s="19">
        <v>0</v>
      </c>
      <c r="L87" s="19">
        <v>1</v>
      </c>
      <c r="M87" s="19">
        <f t="shared" si="22"/>
        <v>1</v>
      </c>
      <c r="N87" s="35"/>
      <c r="O87" s="40" t="s">
        <v>626</v>
      </c>
      <c r="P87" s="161">
        <f t="shared" si="21"/>
        <v>3388392</v>
      </c>
      <c r="Q87" s="16"/>
    </row>
    <row r="88" spans="1:20" ht="29.25" customHeight="1" x14ac:dyDescent="0.3">
      <c r="A88" s="16"/>
      <c r="B88" s="14" t="s">
        <v>62</v>
      </c>
      <c r="C88" s="15" t="s">
        <v>655</v>
      </c>
      <c r="D88" s="26">
        <v>5</v>
      </c>
      <c r="E88" s="49" t="s">
        <v>187</v>
      </c>
      <c r="F88" s="26">
        <f>8%*D88</f>
        <v>0.4</v>
      </c>
      <c r="G88" s="26">
        <f>5%*D88</f>
        <v>0.25</v>
      </c>
      <c r="H88" s="26">
        <f t="shared" si="20"/>
        <v>0.65</v>
      </c>
      <c r="I88" s="19">
        <v>0</v>
      </c>
      <c r="J88" s="19">
        <v>0</v>
      </c>
      <c r="K88" s="19">
        <v>0</v>
      </c>
      <c r="L88" s="19"/>
      <c r="M88" s="19">
        <f t="shared" si="22"/>
        <v>0</v>
      </c>
      <c r="N88" s="35"/>
      <c r="O88" s="36"/>
      <c r="P88" s="161">
        <f t="shared" si="21"/>
        <v>1457999.9999999998</v>
      </c>
      <c r="Q88" s="16"/>
    </row>
    <row r="89" spans="1:20" ht="25.5" customHeight="1" x14ac:dyDescent="0.3">
      <c r="A89" s="16"/>
      <c r="B89" s="14">
        <v>9</v>
      </c>
      <c r="C89" s="15" t="s">
        <v>30</v>
      </c>
      <c r="D89" s="26">
        <v>11.5</v>
      </c>
      <c r="E89" s="49" t="s">
        <v>187</v>
      </c>
      <c r="F89" s="26">
        <f>10%*D89</f>
        <v>1.1500000000000001</v>
      </c>
      <c r="G89" s="26">
        <f>8%*D89</f>
        <v>0.92</v>
      </c>
      <c r="H89" s="26">
        <f t="shared" si="20"/>
        <v>2.0700000000000003</v>
      </c>
      <c r="I89" s="19">
        <v>0</v>
      </c>
      <c r="J89" s="19">
        <v>0</v>
      </c>
      <c r="K89" s="19"/>
      <c r="L89" s="19">
        <v>1</v>
      </c>
      <c r="M89" s="19">
        <f t="shared" si="22"/>
        <v>1</v>
      </c>
      <c r="N89" s="35"/>
      <c r="O89" s="36"/>
      <c r="P89" s="161">
        <f t="shared" si="21"/>
        <v>5365440</v>
      </c>
      <c r="Q89" s="16"/>
    </row>
    <row r="90" spans="1:20" ht="23.25" customHeight="1" x14ac:dyDescent="0.3">
      <c r="A90" s="108"/>
      <c r="B90" s="117" t="s">
        <v>64</v>
      </c>
      <c r="C90" s="116" t="s">
        <v>31</v>
      </c>
      <c r="D90" s="109">
        <v>6</v>
      </c>
      <c r="E90" s="261" t="s">
        <v>187</v>
      </c>
      <c r="F90" s="109">
        <f>10%*D90</f>
        <v>0.60000000000000009</v>
      </c>
      <c r="G90" s="109">
        <f>10%*D90</f>
        <v>0.60000000000000009</v>
      </c>
      <c r="H90" s="109">
        <f t="shared" si="20"/>
        <v>1.2000000000000002</v>
      </c>
      <c r="I90" s="111">
        <v>0</v>
      </c>
      <c r="J90" s="111">
        <v>0</v>
      </c>
      <c r="K90" s="111">
        <v>0</v>
      </c>
      <c r="L90" s="111">
        <v>1</v>
      </c>
      <c r="M90" s="111">
        <f t="shared" si="22"/>
        <v>1</v>
      </c>
      <c r="N90" s="115"/>
      <c r="O90" s="113"/>
      <c r="P90" s="262">
        <f t="shared" si="21"/>
        <v>3499200</v>
      </c>
      <c r="Q90" s="108"/>
    </row>
    <row r="91" spans="1:20" ht="15.75" customHeight="1" x14ac:dyDescent="0.3">
      <c r="A91" s="75"/>
      <c r="B91" s="72" t="s">
        <v>349</v>
      </c>
      <c r="C91" s="72"/>
      <c r="D91" s="73">
        <f>SUM(D82:D90)</f>
        <v>124.64999999999999</v>
      </c>
      <c r="E91" s="74"/>
      <c r="F91" s="73">
        <f t="shared" ref="F91:K91" si="23">SUM(F82:F90)</f>
        <v>17.345500000000001</v>
      </c>
      <c r="G91" s="73">
        <f t="shared" si="23"/>
        <v>9.3744000000000014</v>
      </c>
      <c r="H91" s="73">
        <f t="shared" si="23"/>
        <v>26.719899999999999</v>
      </c>
      <c r="I91" s="83">
        <f t="shared" si="23"/>
        <v>0</v>
      </c>
      <c r="J91" s="83">
        <f t="shared" si="23"/>
        <v>0</v>
      </c>
      <c r="K91" s="83">
        <f t="shared" si="23"/>
        <v>4</v>
      </c>
      <c r="L91" s="83">
        <f>SUM(L81:L90)</f>
        <v>11</v>
      </c>
      <c r="M91" s="83">
        <f>SUM(M82:M90)</f>
        <v>15</v>
      </c>
      <c r="N91" s="76"/>
      <c r="O91" s="77"/>
      <c r="P91" s="184">
        <f>SUM(P82:P90)</f>
        <v>54671500.799999997</v>
      </c>
      <c r="Q91" s="75"/>
    </row>
    <row r="92" spans="1:20" ht="15.75" customHeight="1" x14ac:dyDescent="0.3">
      <c r="A92" s="177"/>
      <c r="B92" s="177"/>
      <c r="C92" s="177"/>
      <c r="D92" s="272"/>
      <c r="E92" s="270"/>
      <c r="F92" s="272"/>
      <c r="G92" s="272"/>
      <c r="H92" s="272"/>
      <c r="I92" s="178"/>
      <c r="J92" s="178"/>
      <c r="K92" s="178"/>
      <c r="L92" s="178"/>
      <c r="M92" s="178"/>
      <c r="N92" s="270"/>
      <c r="O92" s="270"/>
      <c r="P92" s="271"/>
      <c r="Q92" s="177"/>
    </row>
    <row r="93" spans="1:20" ht="15.75" customHeight="1" x14ac:dyDescent="0.3">
      <c r="D93" s="273"/>
      <c r="E93" s="41"/>
      <c r="F93" s="273"/>
      <c r="G93" s="273"/>
      <c r="H93" s="273"/>
      <c r="I93" s="274"/>
      <c r="J93" s="274"/>
      <c r="K93" s="274"/>
      <c r="L93" s="274"/>
      <c r="M93" s="274"/>
      <c r="N93" s="41"/>
      <c r="O93" s="41"/>
      <c r="P93" s="275"/>
    </row>
    <row r="94" spans="1:20" ht="15.75" customHeight="1" x14ac:dyDescent="0.3">
      <c r="D94" s="273"/>
      <c r="E94" s="41"/>
      <c r="F94" s="273"/>
      <c r="G94" s="273"/>
      <c r="H94" s="273"/>
      <c r="I94" s="274"/>
      <c r="J94" s="274"/>
      <c r="K94" s="274"/>
      <c r="L94" s="274"/>
      <c r="M94" s="274"/>
      <c r="N94" s="41"/>
      <c r="O94" s="41"/>
      <c r="P94" s="275"/>
    </row>
    <row r="95" spans="1:20" ht="15.75" customHeight="1" x14ac:dyDescent="0.3">
      <c r="D95" s="273"/>
      <c r="E95" s="41"/>
      <c r="F95" s="273"/>
      <c r="G95" s="273"/>
      <c r="H95" s="273"/>
      <c r="I95" s="274"/>
      <c r="J95" s="274"/>
      <c r="K95" s="274"/>
      <c r="L95" s="274"/>
      <c r="M95" s="274"/>
      <c r="N95" s="41"/>
      <c r="O95" s="41"/>
      <c r="P95" s="275"/>
    </row>
    <row r="96" spans="1:20" ht="15.75" customHeight="1" x14ac:dyDescent="0.3">
      <c r="D96" s="273"/>
      <c r="E96" s="41"/>
      <c r="F96" s="273"/>
      <c r="G96" s="273"/>
      <c r="H96" s="273"/>
      <c r="I96" s="274"/>
      <c r="J96" s="274"/>
      <c r="K96" s="274"/>
      <c r="L96" s="274"/>
      <c r="M96" s="274"/>
      <c r="N96" s="41"/>
      <c r="O96" s="41"/>
      <c r="P96" s="275"/>
    </row>
    <row r="97" spans="1:20" ht="0.75" customHeight="1" x14ac:dyDescent="0.3">
      <c r="D97" s="273"/>
      <c r="E97" s="41"/>
      <c r="F97" s="273"/>
      <c r="G97" s="273"/>
      <c r="H97" s="273"/>
      <c r="I97" s="274"/>
      <c r="J97" s="274"/>
      <c r="K97" s="274"/>
      <c r="L97" s="274"/>
      <c r="M97" s="274"/>
      <c r="N97" s="41"/>
      <c r="O97" s="41"/>
      <c r="P97" s="275"/>
    </row>
    <row r="98" spans="1:20" ht="15.75" customHeight="1" x14ac:dyDescent="0.3">
      <c r="A98" s="63">
        <v>6</v>
      </c>
      <c r="B98" s="68" t="s">
        <v>116</v>
      </c>
      <c r="C98" s="68"/>
      <c r="D98" s="66"/>
      <c r="E98" s="67"/>
      <c r="F98" s="66"/>
      <c r="G98" s="82"/>
      <c r="H98" s="66"/>
      <c r="I98" s="82"/>
      <c r="J98" s="82"/>
      <c r="K98" s="82"/>
      <c r="L98" s="82"/>
      <c r="M98" s="82"/>
      <c r="N98" s="69"/>
      <c r="O98" s="70"/>
      <c r="P98" s="233"/>
      <c r="Q98" s="68"/>
      <c r="S98" s="1" t="s">
        <v>596</v>
      </c>
    </row>
    <row r="99" spans="1:20" ht="16.5" customHeight="1" x14ac:dyDescent="0.3">
      <c r="A99" s="27"/>
      <c r="B99" s="152" t="s">
        <v>57</v>
      </c>
      <c r="C99" s="99" t="s">
        <v>30</v>
      </c>
      <c r="D99" s="154">
        <v>54.84</v>
      </c>
      <c r="E99" s="101" t="s">
        <v>607</v>
      </c>
      <c r="F99" s="154">
        <f>4%*D99</f>
        <v>2.1936</v>
      </c>
      <c r="G99" s="155">
        <f>6%*D99</f>
        <v>3.2904</v>
      </c>
      <c r="H99" s="154">
        <f t="shared" ref="H99:H107" si="24">SUM(F99:G99)</f>
        <v>5.484</v>
      </c>
      <c r="I99" s="155">
        <v>0</v>
      </c>
      <c r="J99" s="155"/>
      <c r="K99" s="155"/>
      <c r="L99" s="155">
        <v>3</v>
      </c>
      <c r="M99" s="155">
        <f>SUM(I99:L99)</f>
        <v>3</v>
      </c>
      <c r="N99" s="156" t="s">
        <v>86</v>
      </c>
      <c r="O99" s="36" t="s">
        <v>211</v>
      </c>
      <c r="P99" s="236">
        <f t="shared" ref="P99:P107" si="25">G99*0.347*30*21000000</f>
        <v>719314343.99999988</v>
      </c>
      <c r="Q99" s="27"/>
      <c r="S99" s="1" t="s">
        <v>597</v>
      </c>
      <c r="T99" s="1" t="s">
        <v>598</v>
      </c>
    </row>
    <row r="100" spans="1:20" ht="14.25" customHeight="1" x14ac:dyDescent="0.3">
      <c r="A100" s="27"/>
      <c r="B100" s="152"/>
      <c r="C100" s="153"/>
      <c r="D100" s="154"/>
      <c r="E100" s="101" t="s">
        <v>625</v>
      </c>
      <c r="F100" s="154">
        <f>7%*D99</f>
        <v>3.8388000000000004</v>
      </c>
      <c r="G100" s="155">
        <f>3%*D99</f>
        <v>1.6452</v>
      </c>
      <c r="H100" s="154">
        <f t="shared" ref="H100:H101" si="26">SUM(F100:G100)</f>
        <v>5.484</v>
      </c>
      <c r="I100" s="155">
        <v>0</v>
      </c>
      <c r="J100" s="155"/>
      <c r="K100" s="155"/>
      <c r="L100" s="155">
        <v>1</v>
      </c>
      <c r="M100" s="155">
        <f>SUM(I100:L100)</f>
        <v>1</v>
      </c>
      <c r="N100" s="156"/>
      <c r="O100" s="40"/>
      <c r="P100" s="236">
        <f t="shared" si="25"/>
        <v>359657171.99999994</v>
      </c>
      <c r="Q100" s="27"/>
    </row>
    <row r="101" spans="1:20" ht="15" customHeight="1" x14ac:dyDescent="0.3">
      <c r="A101" s="27"/>
      <c r="B101" s="152"/>
      <c r="C101" s="153"/>
      <c r="D101" s="154"/>
      <c r="E101" s="248" t="s">
        <v>671</v>
      </c>
      <c r="F101" s="154">
        <f>4%*D99</f>
        <v>2.1936</v>
      </c>
      <c r="G101" s="155">
        <f>1%*D99</f>
        <v>0.5484</v>
      </c>
      <c r="H101" s="154">
        <f t="shared" si="26"/>
        <v>2.742</v>
      </c>
      <c r="I101" s="155"/>
      <c r="J101" s="155"/>
      <c r="K101" s="155"/>
      <c r="L101" s="155">
        <v>2</v>
      </c>
      <c r="M101" s="155"/>
      <c r="N101" s="156"/>
      <c r="O101" s="40"/>
      <c r="P101" s="236">
        <f t="shared" si="25"/>
        <v>119885723.99999999</v>
      </c>
      <c r="Q101" s="27"/>
    </row>
    <row r="102" spans="1:20" ht="27" customHeight="1" x14ac:dyDescent="0.3">
      <c r="A102" s="16"/>
      <c r="B102" s="14" t="s">
        <v>58</v>
      </c>
      <c r="C102" s="15" t="s">
        <v>44</v>
      </c>
      <c r="D102" s="26">
        <v>84.65</v>
      </c>
      <c r="E102" s="47" t="s">
        <v>182</v>
      </c>
      <c r="F102" s="26">
        <f>8%*D102</f>
        <v>6.7720000000000002</v>
      </c>
      <c r="G102" s="19">
        <f>5%*D102</f>
        <v>4.2325000000000008</v>
      </c>
      <c r="H102" s="26">
        <f t="shared" si="24"/>
        <v>11.0045</v>
      </c>
      <c r="I102" s="19">
        <v>0</v>
      </c>
      <c r="J102" s="19"/>
      <c r="K102" s="19"/>
      <c r="L102" s="19">
        <v>3</v>
      </c>
      <c r="M102" s="19">
        <f t="shared" ref="M102:M107" si="27">SUM(I102:L102)</f>
        <v>3</v>
      </c>
      <c r="N102" s="35"/>
      <c r="O102" s="40"/>
      <c r="P102" s="236">
        <f t="shared" si="25"/>
        <v>925266825.00000012</v>
      </c>
      <c r="Q102" s="16"/>
      <c r="S102" s="1" t="s">
        <v>599</v>
      </c>
      <c r="T102" s="1" t="s">
        <v>600</v>
      </c>
    </row>
    <row r="103" spans="1:20" ht="21" customHeight="1" x14ac:dyDescent="0.3">
      <c r="A103" s="16"/>
      <c r="B103" s="14"/>
      <c r="C103" s="15"/>
      <c r="D103" s="26"/>
      <c r="E103" s="101" t="s">
        <v>181</v>
      </c>
      <c r="F103" s="96">
        <f>3%*D102</f>
        <v>2.5394999999999999</v>
      </c>
      <c r="G103" s="97">
        <f>3%*D102</f>
        <v>2.5394999999999999</v>
      </c>
      <c r="H103" s="96">
        <f t="shared" si="24"/>
        <v>5.0789999999999997</v>
      </c>
      <c r="I103" s="97">
        <v>0</v>
      </c>
      <c r="J103" s="97"/>
      <c r="K103" s="97">
        <v>0</v>
      </c>
      <c r="L103" s="97">
        <v>5</v>
      </c>
      <c r="M103" s="97">
        <f>SUM(I103:L103)</f>
        <v>5</v>
      </c>
      <c r="N103" s="35"/>
      <c r="O103" s="159"/>
      <c r="P103" s="236">
        <f t="shared" si="25"/>
        <v>555160095</v>
      </c>
      <c r="Q103" s="16"/>
    </row>
    <row r="104" spans="1:20" ht="30.75" customHeight="1" x14ac:dyDescent="0.3">
      <c r="A104" s="16"/>
      <c r="B104" s="14" t="s">
        <v>59</v>
      </c>
      <c r="C104" s="15" t="s">
        <v>33</v>
      </c>
      <c r="D104" s="26">
        <v>14.2</v>
      </c>
      <c r="E104" s="101" t="s">
        <v>181</v>
      </c>
      <c r="F104" s="96">
        <f>8%*D104</f>
        <v>1.1359999999999999</v>
      </c>
      <c r="G104" s="240">
        <f>10%*D104</f>
        <v>1.42</v>
      </c>
      <c r="H104" s="26">
        <f t="shared" si="24"/>
        <v>2.556</v>
      </c>
      <c r="I104" s="19">
        <v>0</v>
      </c>
      <c r="J104" s="19"/>
      <c r="K104" s="19"/>
      <c r="L104" s="19">
        <v>3</v>
      </c>
      <c r="M104" s="19">
        <f t="shared" si="27"/>
        <v>3</v>
      </c>
      <c r="N104" s="35" t="s">
        <v>88</v>
      </c>
      <c r="O104" s="40" t="s">
        <v>274</v>
      </c>
      <c r="P104" s="236">
        <f t="shared" si="25"/>
        <v>310426200</v>
      </c>
      <c r="Q104" s="16"/>
      <c r="S104" s="1" t="s">
        <v>592</v>
      </c>
    </row>
    <row r="105" spans="1:20" ht="23.25" customHeight="1" x14ac:dyDescent="0.3">
      <c r="A105" s="87"/>
      <c r="B105" s="55"/>
      <c r="C105" s="56"/>
      <c r="D105" s="57"/>
      <c r="E105" s="248" t="s">
        <v>671</v>
      </c>
      <c r="F105" s="154">
        <f>5%*D104</f>
        <v>0.71</v>
      </c>
      <c r="G105" s="154">
        <f>D104*2%</f>
        <v>0.28399999999999997</v>
      </c>
      <c r="H105" s="154">
        <f t="shared" si="24"/>
        <v>0.99399999999999999</v>
      </c>
      <c r="I105" s="155"/>
      <c r="J105" s="155"/>
      <c r="K105" s="155"/>
      <c r="L105" s="155">
        <v>2</v>
      </c>
      <c r="M105" s="155"/>
      <c r="N105" s="156"/>
      <c r="O105" s="40"/>
      <c r="P105" s="236">
        <f t="shared" si="25"/>
        <v>62085239.999999985</v>
      </c>
      <c r="Q105" s="87"/>
    </row>
    <row r="106" spans="1:20" ht="23.25" customHeight="1" x14ac:dyDescent="0.3">
      <c r="A106" s="87"/>
      <c r="B106" s="98" t="s">
        <v>61</v>
      </c>
      <c r="C106" s="99" t="s">
        <v>35</v>
      </c>
      <c r="D106" s="96">
        <v>36.72</v>
      </c>
      <c r="E106" s="101" t="s">
        <v>181</v>
      </c>
      <c r="F106" s="96">
        <f>8%*D106</f>
        <v>2.9375999999999998</v>
      </c>
      <c r="G106" s="97">
        <f>4%*D106</f>
        <v>1.4687999999999999</v>
      </c>
      <c r="H106" s="96">
        <f t="shared" si="24"/>
        <v>4.4063999999999997</v>
      </c>
      <c r="I106" s="97">
        <v>0</v>
      </c>
      <c r="J106" s="97"/>
      <c r="K106" s="97">
        <v>0</v>
      </c>
      <c r="L106" s="97">
        <v>5</v>
      </c>
      <c r="M106" s="97">
        <f>SUM(I106:L106)</f>
        <v>5</v>
      </c>
      <c r="N106" s="35"/>
      <c r="O106" s="159"/>
      <c r="P106" s="236">
        <f t="shared" si="25"/>
        <v>321094367.99999994</v>
      </c>
      <c r="Q106" s="87"/>
    </row>
    <row r="107" spans="1:20" ht="29.25" customHeight="1" x14ac:dyDescent="0.3">
      <c r="A107" s="108"/>
      <c r="B107" s="265"/>
      <c r="C107" s="263"/>
      <c r="D107" s="264"/>
      <c r="E107" s="142" t="s">
        <v>183</v>
      </c>
      <c r="F107" s="127">
        <f>6%*D106</f>
        <v>2.2031999999999998</v>
      </c>
      <c r="G107" s="240">
        <f>1%*D106</f>
        <v>0.36719999999999997</v>
      </c>
      <c r="H107" s="127">
        <f t="shared" si="24"/>
        <v>2.5703999999999998</v>
      </c>
      <c r="I107" s="143">
        <v>0</v>
      </c>
      <c r="J107" s="143">
        <v>0</v>
      </c>
      <c r="K107" s="143">
        <v>0</v>
      </c>
      <c r="L107" s="143">
        <v>3</v>
      </c>
      <c r="M107" s="143">
        <f t="shared" si="27"/>
        <v>3</v>
      </c>
      <c r="N107" s="157" t="s">
        <v>254</v>
      </c>
      <c r="O107" s="249" t="s">
        <v>137</v>
      </c>
      <c r="P107" s="236">
        <f t="shared" si="25"/>
        <v>80273591.999999985</v>
      </c>
      <c r="Q107" s="87"/>
      <c r="S107" s="217" t="s">
        <v>601</v>
      </c>
      <c r="T107" s="216" t="s">
        <v>602</v>
      </c>
    </row>
    <row r="108" spans="1:20" ht="20.25" customHeight="1" x14ac:dyDescent="0.3">
      <c r="A108" s="75"/>
      <c r="B108" s="136" t="s">
        <v>351</v>
      </c>
      <c r="C108" s="137"/>
      <c r="D108" s="138">
        <f>SUM(D99:D107)</f>
        <v>190.41</v>
      </c>
      <c r="E108" s="139"/>
      <c r="F108" s="138">
        <f t="shared" ref="F108:M108" si="28">SUM(F99:F107)</f>
        <v>24.5243</v>
      </c>
      <c r="G108" s="140">
        <f t="shared" si="28"/>
        <v>15.796000000000001</v>
      </c>
      <c r="H108" s="138">
        <f t="shared" si="28"/>
        <v>40.320299999999996</v>
      </c>
      <c r="I108" s="140">
        <f t="shared" si="28"/>
        <v>0</v>
      </c>
      <c r="J108" s="140">
        <f t="shared" si="28"/>
        <v>0</v>
      </c>
      <c r="K108" s="140">
        <f t="shared" si="28"/>
        <v>0</v>
      </c>
      <c r="L108" s="140">
        <f t="shared" si="28"/>
        <v>27</v>
      </c>
      <c r="M108" s="140">
        <f t="shared" si="28"/>
        <v>23</v>
      </c>
      <c r="N108" s="76"/>
      <c r="O108" s="77"/>
      <c r="P108" s="237">
        <f>SUM(P99:P107)</f>
        <v>3453163560</v>
      </c>
      <c r="Q108" s="75"/>
    </row>
    <row r="109" spans="1:20" ht="21" customHeight="1" x14ac:dyDescent="0.3">
      <c r="A109" s="63">
        <v>7</v>
      </c>
      <c r="B109" s="8" t="s">
        <v>117</v>
      </c>
      <c r="C109" s="10"/>
      <c r="D109" s="90"/>
      <c r="E109" s="67"/>
      <c r="F109" s="66"/>
      <c r="G109" s="218"/>
      <c r="H109" s="66"/>
      <c r="I109" s="82"/>
      <c r="J109" s="82"/>
      <c r="K109" s="82"/>
      <c r="L109" s="82"/>
      <c r="M109" s="82"/>
      <c r="N109" s="69"/>
      <c r="O109" s="70"/>
      <c r="P109" s="233"/>
      <c r="Q109" s="68"/>
    </row>
    <row r="110" spans="1:20" ht="24.75" customHeight="1" x14ac:dyDescent="0.3">
      <c r="A110" s="16"/>
      <c r="B110" s="14" t="s">
        <v>57</v>
      </c>
      <c r="C110" s="15" t="s">
        <v>22</v>
      </c>
      <c r="D110" s="26">
        <v>300.95</v>
      </c>
      <c r="E110" s="101" t="s">
        <v>203</v>
      </c>
      <c r="F110" s="96">
        <f>3%*D110</f>
        <v>9.0284999999999993</v>
      </c>
      <c r="G110" s="223">
        <f>25%*D110</f>
        <v>75.237499999999997</v>
      </c>
      <c r="H110" s="96">
        <f t="shared" ref="H110:H117" si="29">SUM(F110:G110)</f>
        <v>84.265999999999991</v>
      </c>
      <c r="I110" s="97">
        <v>0</v>
      </c>
      <c r="J110" s="97"/>
      <c r="K110" s="97">
        <v>10</v>
      </c>
      <c r="L110" s="97">
        <v>6</v>
      </c>
      <c r="M110" s="97">
        <f t="shared" ref="M110:M116" si="30">SUM(I110:L110)</f>
        <v>16</v>
      </c>
      <c r="N110" s="35"/>
      <c r="O110" s="40" t="s">
        <v>211</v>
      </c>
      <c r="P110" s="238">
        <f t="shared" ref="P110:P117" si="31">G110*0.3*30%*40000000</f>
        <v>270855000</v>
      </c>
      <c r="Q110" s="16"/>
    </row>
    <row r="111" spans="1:20" ht="23.25" customHeight="1" x14ac:dyDescent="0.3">
      <c r="A111" s="16"/>
      <c r="B111" s="14"/>
      <c r="C111" s="15"/>
      <c r="D111" s="26"/>
      <c r="E111" s="101" t="s">
        <v>184</v>
      </c>
      <c r="F111" s="96">
        <f>2%*D110</f>
        <v>6.0190000000000001</v>
      </c>
      <c r="G111" s="97">
        <f>4%*D110</f>
        <v>12.038</v>
      </c>
      <c r="H111" s="96">
        <f>SUM(F111:G111)</f>
        <v>18.057000000000002</v>
      </c>
      <c r="I111" s="97">
        <v>0</v>
      </c>
      <c r="J111" s="97"/>
      <c r="K111" s="97">
        <v>5</v>
      </c>
      <c r="L111" s="97">
        <v>6</v>
      </c>
      <c r="M111" s="97">
        <f t="shared" si="30"/>
        <v>11</v>
      </c>
      <c r="N111" s="35"/>
      <c r="O111" s="40"/>
      <c r="P111" s="238">
        <f t="shared" si="31"/>
        <v>43336799.999999993</v>
      </c>
      <c r="Q111" s="16"/>
    </row>
    <row r="112" spans="1:20" ht="32.25" customHeight="1" x14ac:dyDescent="0.3">
      <c r="A112" s="16"/>
      <c r="B112" s="98" t="s">
        <v>58</v>
      </c>
      <c r="C112" s="99" t="s">
        <v>42</v>
      </c>
      <c r="D112" s="26">
        <v>277.5</v>
      </c>
      <c r="E112" s="101" t="s">
        <v>203</v>
      </c>
      <c r="F112" s="96">
        <f>2%*D112</f>
        <v>5.55</v>
      </c>
      <c r="G112" s="97">
        <f>45%*D112</f>
        <v>124.875</v>
      </c>
      <c r="H112" s="96">
        <f t="shared" si="29"/>
        <v>130.42500000000001</v>
      </c>
      <c r="I112" s="97">
        <v>0</v>
      </c>
      <c r="J112" s="97"/>
      <c r="K112" s="97">
        <v>6</v>
      </c>
      <c r="L112" s="97">
        <v>7</v>
      </c>
      <c r="M112" s="97">
        <f t="shared" si="30"/>
        <v>13</v>
      </c>
      <c r="N112" s="35"/>
      <c r="O112" s="40" t="s">
        <v>137</v>
      </c>
      <c r="P112" s="238">
        <f t="shared" si="31"/>
        <v>449550000</v>
      </c>
      <c r="Q112" s="16"/>
      <c r="S112" s="1" t="s">
        <v>593</v>
      </c>
    </row>
    <row r="113" spans="1:19" ht="26.25" customHeight="1" x14ac:dyDescent="0.3">
      <c r="A113" s="16"/>
      <c r="B113" s="14"/>
      <c r="C113" s="15"/>
      <c r="D113" s="26"/>
      <c r="E113" s="101" t="s">
        <v>184</v>
      </c>
      <c r="F113" s="96">
        <f>3%*D112</f>
        <v>8.3249999999999993</v>
      </c>
      <c r="G113" s="97">
        <f>3%*D112</f>
        <v>8.3249999999999993</v>
      </c>
      <c r="H113" s="96">
        <f>SUM(F113:G113)</f>
        <v>16.649999999999999</v>
      </c>
      <c r="I113" s="97"/>
      <c r="J113" s="97"/>
      <c r="K113" s="97">
        <v>4</v>
      </c>
      <c r="L113" s="97">
        <v>4</v>
      </c>
      <c r="M113" s="97">
        <f t="shared" si="30"/>
        <v>8</v>
      </c>
      <c r="N113" s="35"/>
      <c r="O113" s="40"/>
      <c r="P113" s="238">
        <f t="shared" si="31"/>
        <v>29969999.999999996</v>
      </c>
      <c r="Q113" s="16"/>
      <c r="S113" s="1" t="s">
        <v>594</v>
      </c>
    </row>
    <row r="114" spans="1:19" ht="27.75" customHeight="1" x14ac:dyDescent="0.3">
      <c r="A114" s="16"/>
      <c r="B114" s="14" t="s">
        <v>59</v>
      </c>
      <c r="C114" s="15" t="s">
        <v>21</v>
      </c>
      <c r="D114" s="18">
        <v>162.94999999999999</v>
      </c>
      <c r="E114" s="101" t="s">
        <v>203</v>
      </c>
      <c r="F114" s="225">
        <f>4%*D114</f>
        <v>6.5179999999999998</v>
      </c>
      <c r="G114" s="225">
        <f>7%*D114</f>
        <v>11.406499999999999</v>
      </c>
      <c r="H114" s="96">
        <f t="shared" si="29"/>
        <v>17.924499999999998</v>
      </c>
      <c r="I114" s="97">
        <v>0</v>
      </c>
      <c r="J114" s="97"/>
      <c r="K114" s="97">
        <v>6</v>
      </c>
      <c r="L114" s="97">
        <v>6</v>
      </c>
      <c r="M114" s="97">
        <f t="shared" si="30"/>
        <v>12</v>
      </c>
      <c r="N114" s="35"/>
      <c r="O114" s="36"/>
      <c r="P114" s="238">
        <f t="shared" si="31"/>
        <v>41063399.999999993</v>
      </c>
      <c r="Q114" s="16"/>
      <c r="S114" s="1" t="s">
        <v>595</v>
      </c>
    </row>
    <row r="115" spans="1:19" ht="24" customHeight="1" x14ac:dyDescent="0.3">
      <c r="A115" s="16"/>
      <c r="B115" s="14" t="s">
        <v>60</v>
      </c>
      <c r="C115" s="15" t="s">
        <v>43</v>
      </c>
      <c r="D115" s="26">
        <v>461.8</v>
      </c>
      <c r="E115" s="101" t="s">
        <v>221</v>
      </c>
      <c r="F115" s="96">
        <f>5%*D115</f>
        <v>23.090000000000003</v>
      </c>
      <c r="G115" s="97">
        <f>10%*D115</f>
        <v>46.180000000000007</v>
      </c>
      <c r="H115" s="96">
        <f t="shared" si="29"/>
        <v>69.27000000000001</v>
      </c>
      <c r="I115" s="97">
        <v>0</v>
      </c>
      <c r="J115" s="97"/>
      <c r="K115" s="97">
        <v>10</v>
      </c>
      <c r="L115" s="97">
        <v>6</v>
      </c>
      <c r="M115" s="97">
        <f t="shared" si="30"/>
        <v>16</v>
      </c>
      <c r="N115" s="35"/>
      <c r="O115" s="36"/>
      <c r="P115" s="238">
        <f t="shared" si="31"/>
        <v>166248000</v>
      </c>
      <c r="Q115" s="16"/>
    </row>
    <row r="116" spans="1:19" ht="24.75" customHeight="1" x14ac:dyDescent="0.3">
      <c r="A116" s="16"/>
      <c r="B116" s="14"/>
      <c r="C116" s="15"/>
      <c r="D116" s="26"/>
      <c r="E116" s="101" t="s">
        <v>184</v>
      </c>
      <c r="F116" s="96">
        <f>3%*D115</f>
        <v>13.853999999999999</v>
      </c>
      <c r="G116" s="96">
        <f>4%*D115</f>
        <v>18.472000000000001</v>
      </c>
      <c r="H116" s="96">
        <f>SUM(F116:G116)</f>
        <v>32.326000000000001</v>
      </c>
      <c r="I116" s="97"/>
      <c r="J116" s="97"/>
      <c r="K116" s="97"/>
      <c r="L116" s="97">
        <v>2</v>
      </c>
      <c r="M116" s="97">
        <f t="shared" si="30"/>
        <v>2</v>
      </c>
      <c r="N116" s="35"/>
      <c r="O116" s="36"/>
      <c r="P116" s="238">
        <f t="shared" si="31"/>
        <v>66499200</v>
      </c>
      <c r="Q116" s="16"/>
    </row>
    <row r="117" spans="1:19" ht="29.25" customHeight="1" x14ac:dyDescent="0.3">
      <c r="A117" s="16"/>
      <c r="B117" s="14" t="s">
        <v>61</v>
      </c>
      <c r="C117" s="15" t="s">
        <v>44</v>
      </c>
      <c r="D117" s="26">
        <v>84.65</v>
      </c>
      <c r="E117" s="101" t="s">
        <v>203</v>
      </c>
      <c r="F117" s="26">
        <f>2%*D117</f>
        <v>1.6930000000000001</v>
      </c>
      <c r="G117" s="220">
        <f>15%*D117</f>
        <v>12.6975</v>
      </c>
      <c r="H117" s="26">
        <f t="shared" si="29"/>
        <v>14.390499999999999</v>
      </c>
      <c r="I117" s="19">
        <v>0</v>
      </c>
      <c r="J117" s="19"/>
      <c r="K117" s="19"/>
      <c r="L117" s="19">
        <v>5</v>
      </c>
      <c r="M117" s="19">
        <f t="shared" ref="M117" si="32">SUM(I117:L117)</f>
        <v>5</v>
      </c>
      <c r="N117" s="35"/>
      <c r="O117" s="36"/>
      <c r="P117" s="238">
        <f t="shared" si="31"/>
        <v>45710999.999999993</v>
      </c>
      <c r="Q117" s="16"/>
    </row>
    <row r="118" spans="1:19" ht="22.5" customHeight="1" x14ac:dyDescent="0.3">
      <c r="A118" s="75"/>
      <c r="B118" s="72" t="s">
        <v>350</v>
      </c>
      <c r="C118" s="72"/>
      <c r="D118" s="73">
        <f>SUM(D110:D117)</f>
        <v>1287.8500000000001</v>
      </c>
      <c r="E118" s="74"/>
      <c r="F118" s="73">
        <f>SUM(F110:F117)</f>
        <v>74.077500000000001</v>
      </c>
      <c r="G118" s="83">
        <f>SUM(G110:G117)</f>
        <v>309.23149999999998</v>
      </c>
      <c r="H118" s="73">
        <f>SUM(H87:H117)</f>
        <v>496.00049999999999</v>
      </c>
      <c r="I118" s="83">
        <f>SUM(I102:I117)</f>
        <v>0</v>
      </c>
      <c r="J118" s="83">
        <f>SUM(J102:J117)</f>
        <v>0</v>
      </c>
      <c r="K118" s="83">
        <f>SUM(K102:K117)</f>
        <v>41</v>
      </c>
      <c r="L118" s="83">
        <f>SUM(L102:L117)</f>
        <v>90</v>
      </c>
      <c r="M118" s="83">
        <f>SUM(M99:M117)</f>
        <v>129</v>
      </c>
      <c r="N118" s="76"/>
      <c r="O118" s="77"/>
      <c r="P118" s="184">
        <f>SUM(P109:P117)</f>
        <v>1113233400</v>
      </c>
      <c r="Q118" s="75"/>
    </row>
    <row r="119" spans="1:19" ht="4.5" customHeight="1" x14ac:dyDescent="0.3">
      <c r="F119" s="2">
        <f>SUM(F110:F118)</f>
        <v>148.155</v>
      </c>
      <c r="G119" s="2"/>
      <c r="H119" s="2"/>
      <c r="I119" s="2"/>
      <c r="J119" s="2"/>
      <c r="K119" s="2"/>
      <c r="L119" s="2"/>
      <c r="M119" s="2"/>
    </row>
    <row r="120" spans="1:19" ht="4.5" customHeight="1" x14ac:dyDescent="0.3">
      <c r="F120" s="2"/>
      <c r="G120" s="2"/>
      <c r="H120" s="2"/>
      <c r="I120" s="2"/>
      <c r="J120" s="2"/>
      <c r="K120" s="2"/>
      <c r="L120" s="2"/>
      <c r="M120" s="2"/>
    </row>
    <row r="121" spans="1:19" ht="4.5" customHeight="1" x14ac:dyDescent="0.3">
      <c r="F121" s="2"/>
      <c r="G121" s="2"/>
      <c r="H121" s="2"/>
      <c r="I121" s="2"/>
      <c r="J121" s="2"/>
      <c r="K121" s="2"/>
      <c r="L121" s="2"/>
      <c r="M121" s="2"/>
    </row>
    <row r="122" spans="1:19" ht="4.5" customHeight="1" x14ac:dyDescent="0.3">
      <c r="F122" s="2"/>
      <c r="G122" s="2"/>
      <c r="H122" s="2"/>
      <c r="I122" s="2"/>
      <c r="J122" s="2"/>
      <c r="K122" s="2"/>
      <c r="L122" s="2"/>
      <c r="M122" s="2"/>
    </row>
    <row r="123" spans="1:19" ht="4.5" customHeight="1" x14ac:dyDescent="0.3">
      <c r="F123" s="2"/>
      <c r="G123" s="2"/>
      <c r="H123" s="2"/>
      <c r="I123" s="2"/>
      <c r="J123" s="2"/>
      <c r="K123" s="2"/>
      <c r="L123" s="2"/>
      <c r="M123" s="2"/>
    </row>
    <row r="124" spans="1:19" ht="4.5" customHeight="1" x14ac:dyDescent="0.3">
      <c r="F124" s="2"/>
      <c r="G124" s="2"/>
      <c r="H124" s="2"/>
      <c r="I124" s="2"/>
      <c r="J124" s="2"/>
      <c r="K124" s="2"/>
      <c r="L124" s="2"/>
      <c r="M124" s="2"/>
    </row>
    <row r="125" spans="1:19" ht="4.5" customHeight="1" x14ac:dyDescent="0.3">
      <c r="F125" s="2"/>
      <c r="G125" s="2"/>
      <c r="H125" s="2"/>
      <c r="I125" s="2"/>
      <c r="J125" s="2"/>
      <c r="K125" s="2"/>
      <c r="L125" s="2"/>
      <c r="M125" s="2"/>
    </row>
    <row r="126" spans="1:19" ht="4.5" customHeight="1" x14ac:dyDescent="0.3">
      <c r="F126" s="2"/>
      <c r="G126" s="2"/>
      <c r="H126" s="2"/>
      <c r="I126" s="2"/>
      <c r="J126" s="2"/>
      <c r="K126" s="2"/>
      <c r="L126" s="2"/>
      <c r="M126" s="2"/>
    </row>
    <row r="127" spans="1:19" ht="4.5" customHeight="1" x14ac:dyDescent="0.3">
      <c r="F127" s="2"/>
      <c r="G127" s="2"/>
      <c r="H127" s="2"/>
      <c r="I127" s="2"/>
      <c r="J127" s="2"/>
      <c r="K127" s="2"/>
      <c r="L127" s="2"/>
      <c r="M127" s="2"/>
    </row>
    <row r="128" spans="1:19" ht="4.5" customHeight="1" x14ac:dyDescent="0.3">
      <c r="F128" s="2"/>
      <c r="G128" s="2"/>
      <c r="H128" s="2"/>
      <c r="I128" s="2"/>
      <c r="J128" s="2"/>
      <c r="K128" s="2"/>
      <c r="L128" s="2"/>
      <c r="M128" s="2"/>
    </row>
    <row r="129" spans="1:17" ht="4.5" customHeight="1" x14ac:dyDescent="0.3">
      <c r="F129" s="2"/>
      <c r="G129" s="2"/>
      <c r="H129" s="2"/>
      <c r="I129" s="2"/>
      <c r="J129" s="2"/>
      <c r="K129" s="2"/>
      <c r="L129" s="2"/>
      <c r="M129" s="2"/>
    </row>
    <row r="130" spans="1:17" ht="4.5" customHeight="1" x14ac:dyDescent="0.3">
      <c r="F130" s="2"/>
      <c r="G130" s="2"/>
      <c r="H130" s="2"/>
      <c r="I130" s="2"/>
      <c r="J130" s="2"/>
      <c r="K130" s="2"/>
      <c r="L130" s="2"/>
      <c r="M130" s="2"/>
    </row>
    <row r="131" spans="1:17" ht="4.5" customHeight="1" x14ac:dyDescent="0.3">
      <c r="F131" s="2"/>
      <c r="G131" s="2"/>
      <c r="H131" s="2"/>
      <c r="I131" s="2"/>
      <c r="J131" s="2"/>
      <c r="K131" s="2"/>
      <c r="L131" s="2"/>
      <c r="M131" s="2"/>
    </row>
    <row r="132" spans="1:17" ht="4.5" customHeight="1" x14ac:dyDescent="0.3">
      <c r="F132" s="2"/>
      <c r="G132" s="2"/>
      <c r="H132" s="2"/>
      <c r="I132" s="2"/>
      <c r="J132" s="2"/>
      <c r="K132" s="2"/>
      <c r="L132" s="2"/>
      <c r="M132" s="2"/>
    </row>
    <row r="133" spans="1:17" ht="4.5" customHeight="1" x14ac:dyDescent="0.3">
      <c r="F133" s="2"/>
      <c r="G133" s="2"/>
      <c r="H133" s="2"/>
      <c r="I133" s="2"/>
      <c r="J133" s="2"/>
      <c r="K133" s="2"/>
      <c r="L133" s="2"/>
      <c r="M133" s="2"/>
    </row>
    <row r="134" spans="1:17" ht="4.5" customHeight="1" x14ac:dyDescent="0.3">
      <c r="F134" s="2"/>
      <c r="G134" s="2"/>
      <c r="H134" s="2"/>
      <c r="I134" s="2"/>
      <c r="J134" s="2"/>
      <c r="K134" s="2"/>
      <c r="L134" s="2"/>
      <c r="M134" s="2"/>
    </row>
    <row r="135" spans="1:17" ht="15.75" customHeight="1" x14ac:dyDescent="0.3">
      <c r="A135" s="222">
        <v>8</v>
      </c>
      <c r="B135" s="8" t="s">
        <v>608</v>
      </c>
      <c r="C135" s="10"/>
      <c r="D135" s="90"/>
      <c r="E135" s="67"/>
      <c r="F135" s="66"/>
      <c r="G135" s="218"/>
      <c r="H135" s="66"/>
      <c r="I135" s="82"/>
      <c r="J135" s="82"/>
      <c r="K135" s="266"/>
      <c r="L135" s="82"/>
      <c r="M135" s="82"/>
      <c r="N135" s="69"/>
      <c r="O135" s="70"/>
      <c r="P135" s="70"/>
      <c r="Q135" s="87"/>
    </row>
    <row r="136" spans="1:17" ht="29.25" customHeight="1" x14ac:dyDescent="0.3">
      <c r="A136" s="250"/>
      <c r="B136" s="98" t="s">
        <v>57</v>
      </c>
      <c r="C136" s="99" t="s">
        <v>609</v>
      </c>
      <c r="D136" s="96">
        <v>15</v>
      </c>
      <c r="E136" s="101" t="s">
        <v>611</v>
      </c>
      <c r="F136" s="96">
        <f>5%*D136</f>
        <v>0.75</v>
      </c>
      <c r="G136" s="223">
        <f>6%*D136</f>
        <v>0.89999999999999991</v>
      </c>
      <c r="H136" s="96">
        <f t="shared" ref="H136" si="33">SUM(F136:G136)</f>
        <v>1.65</v>
      </c>
      <c r="I136" s="97">
        <v>0</v>
      </c>
      <c r="J136" s="97"/>
      <c r="K136" s="223">
        <v>1</v>
      </c>
      <c r="L136" s="97"/>
      <c r="M136" s="97">
        <f>SUM(I136:L136)</f>
        <v>1</v>
      </c>
      <c r="N136" s="251" t="s">
        <v>51</v>
      </c>
      <c r="O136" s="169" t="s">
        <v>133</v>
      </c>
      <c r="P136" s="252">
        <f>G136*0.93*30%*7500000</f>
        <v>1883250</v>
      </c>
      <c r="Q136" s="250"/>
    </row>
    <row r="137" spans="1:17" ht="18" customHeight="1" x14ac:dyDescent="0.3">
      <c r="A137" s="250"/>
      <c r="B137" s="98"/>
      <c r="C137" s="99"/>
      <c r="D137" s="96"/>
      <c r="E137" s="101" t="s">
        <v>612</v>
      </c>
      <c r="F137" s="96">
        <f>0.5%*D136</f>
        <v>7.4999999999999997E-2</v>
      </c>
      <c r="G137" s="96">
        <f>1%*D136</f>
        <v>0.15</v>
      </c>
      <c r="H137" s="96">
        <f>SUM(F137:G137)</f>
        <v>0.22499999999999998</v>
      </c>
      <c r="I137" s="97">
        <v>0</v>
      </c>
      <c r="J137" s="97"/>
      <c r="K137" s="223"/>
      <c r="L137" s="97"/>
      <c r="M137" s="97">
        <f>SUM(I137:L137)</f>
        <v>0</v>
      </c>
      <c r="N137" s="251"/>
      <c r="O137" s="169"/>
      <c r="P137" s="252">
        <f t="shared" ref="P137:P143" si="34">G137*0.93*80%*8500000</f>
        <v>948600.00000000012</v>
      </c>
      <c r="Q137" s="250"/>
    </row>
    <row r="138" spans="1:17" ht="24" customHeight="1" x14ac:dyDescent="0.3">
      <c r="A138" s="250"/>
      <c r="B138" s="98" t="s">
        <v>58</v>
      </c>
      <c r="C138" s="99" t="s">
        <v>180</v>
      </c>
      <c r="D138" s="96">
        <v>12</v>
      </c>
      <c r="E138" s="101" t="s">
        <v>611</v>
      </c>
      <c r="F138" s="96">
        <f>4%*D138</f>
        <v>0.48</v>
      </c>
      <c r="G138" s="96">
        <f>5%*D138</f>
        <v>0.60000000000000009</v>
      </c>
      <c r="H138" s="96">
        <f t="shared" ref="H138" si="35">SUM(F138:G138)</f>
        <v>1.08</v>
      </c>
      <c r="I138" s="97">
        <v>0</v>
      </c>
      <c r="J138" s="97"/>
      <c r="K138" s="223">
        <v>1</v>
      </c>
      <c r="L138" s="97"/>
      <c r="M138" s="97">
        <f>SUM(I138:L138)</f>
        <v>1</v>
      </c>
      <c r="N138" s="251" t="s">
        <v>51</v>
      </c>
      <c r="O138" s="169" t="s">
        <v>137</v>
      </c>
      <c r="P138" s="252">
        <f t="shared" si="34"/>
        <v>3794400.0000000009</v>
      </c>
      <c r="Q138" s="250"/>
    </row>
    <row r="139" spans="1:17" ht="30" customHeight="1" x14ac:dyDescent="0.3">
      <c r="A139" s="250"/>
      <c r="B139" s="98"/>
      <c r="C139" s="99"/>
      <c r="D139" s="96"/>
      <c r="E139" s="101" t="s">
        <v>612</v>
      </c>
      <c r="F139" s="96">
        <f>4%*D138</f>
        <v>0.48</v>
      </c>
      <c r="G139" s="223">
        <f>0.5%*D138</f>
        <v>0.06</v>
      </c>
      <c r="H139" s="96">
        <f>SUM(F139:G139)</f>
        <v>0.54</v>
      </c>
      <c r="I139" s="97"/>
      <c r="J139" s="97"/>
      <c r="K139" s="223"/>
      <c r="L139" s="254">
        <v>0.5</v>
      </c>
      <c r="M139" s="223">
        <f>SUM(I139:L139)</f>
        <v>0.5</v>
      </c>
      <c r="N139" s="251" t="s">
        <v>51</v>
      </c>
      <c r="O139" s="169" t="s">
        <v>679</v>
      </c>
      <c r="P139" s="252">
        <f t="shared" si="34"/>
        <v>379440.00000000006</v>
      </c>
      <c r="Q139" s="250"/>
    </row>
    <row r="140" spans="1:17" ht="18" customHeight="1" x14ac:dyDescent="0.3">
      <c r="A140" s="250"/>
      <c r="B140" s="98" t="s">
        <v>59</v>
      </c>
      <c r="C140" s="99" t="s">
        <v>35</v>
      </c>
      <c r="D140" s="96">
        <v>11</v>
      </c>
      <c r="E140" s="101" t="s">
        <v>611</v>
      </c>
      <c r="F140" s="96">
        <f>6%*D140</f>
        <v>0.65999999999999992</v>
      </c>
      <c r="G140" s="223">
        <f>7%*D140</f>
        <v>0.77</v>
      </c>
      <c r="H140" s="96">
        <f t="shared" ref="H140" si="36">SUM(F140:G140)</f>
        <v>1.43</v>
      </c>
      <c r="I140" s="97">
        <v>0</v>
      </c>
      <c r="J140" s="97"/>
      <c r="K140" s="223"/>
      <c r="L140" s="97"/>
      <c r="M140" s="223">
        <f t="shared" ref="M140:M143" si="37">SUM(I140:L140)</f>
        <v>0</v>
      </c>
      <c r="N140" s="251"/>
      <c r="O140" s="159"/>
      <c r="P140" s="252">
        <f t="shared" si="34"/>
        <v>4869480.0000000009</v>
      </c>
      <c r="Q140" s="250"/>
    </row>
    <row r="141" spans="1:17" ht="15.75" customHeight="1" x14ac:dyDescent="0.3">
      <c r="A141" s="250"/>
      <c r="B141" s="98"/>
      <c r="C141" s="99"/>
      <c r="D141" s="96"/>
      <c r="E141" s="101" t="s">
        <v>612</v>
      </c>
      <c r="F141" s="96">
        <f>1%*D140</f>
        <v>0.11</v>
      </c>
      <c r="G141" s="96">
        <f>2%*D140</f>
        <v>0.22</v>
      </c>
      <c r="H141" s="96">
        <f>SUM(F141:G141)</f>
        <v>0.33</v>
      </c>
      <c r="I141" s="97">
        <v>0</v>
      </c>
      <c r="J141" s="97">
        <v>0</v>
      </c>
      <c r="K141" s="223"/>
      <c r="L141" s="97">
        <v>0</v>
      </c>
      <c r="M141" s="96">
        <f t="shared" si="37"/>
        <v>0</v>
      </c>
      <c r="N141" s="251"/>
      <c r="O141" s="159"/>
      <c r="P141" s="252">
        <f t="shared" si="34"/>
        <v>1391280.0000000002</v>
      </c>
      <c r="Q141" s="250"/>
    </row>
    <row r="142" spans="1:17" ht="15.75" customHeight="1" x14ac:dyDescent="0.3">
      <c r="A142" s="250"/>
      <c r="B142" s="122" t="s">
        <v>60</v>
      </c>
      <c r="C142" s="99" t="s">
        <v>34</v>
      </c>
      <c r="D142" s="96">
        <v>28</v>
      </c>
      <c r="E142" s="101" t="s">
        <v>611</v>
      </c>
      <c r="F142" s="96">
        <f>5%*D142</f>
        <v>1.4000000000000001</v>
      </c>
      <c r="G142" s="96">
        <f>8%*D142</f>
        <v>2.2400000000000002</v>
      </c>
      <c r="H142" s="96">
        <f t="shared" ref="H142" si="38">SUM(F142:G142)</f>
        <v>3.6400000000000006</v>
      </c>
      <c r="I142" s="97">
        <v>0</v>
      </c>
      <c r="J142" s="97"/>
      <c r="K142" s="223">
        <v>2</v>
      </c>
      <c r="L142" s="97">
        <v>1</v>
      </c>
      <c r="M142" s="97">
        <f t="shared" si="37"/>
        <v>3</v>
      </c>
      <c r="N142" s="251"/>
      <c r="O142" s="159"/>
      <c r="P142" s="252">
        <f t="shared" si="34"/>
        <v>14165760.000000002</v>
      </c>
      <c r="Q142" s="250"/>
    </row>
    <row r="143" spans="1:17" ht="24" customHeight="1" x14ac:dyDescent="0.3">
      <c r="A143" s="250"/>
      <c r="B143" s="122"/>
      <c r="C143" s="99"/>
      <c r="D143" s="96"/>
      <c r="E143" s="101" t="s">
        <v>612</v>
      </c>
      <c r="F143" s="96"/>
      <c r="G143" s="96">
        <f>1%*D142</f>
        <v>0.28000000000000003</v>
      </c>
      <c r="H143" s="96">
        <f>SUM(F143:G143)</f>
        <v>0.28000000000000003</v>
      </c>
      <c r="I143" s="97">
        <v>0</v>
      </c>
      <c r="J143" s="97">
        <v>0</v>
      </c>
      <c r="K143" s="223"/>
      <c r="L143" s="97"/>
      <c r="M143" s="97">
        <f t="shared" si="37"/>
        <v>0</v>
      </c>
      <c r="N143" s="251"/>
      <c r="O143" s="159"/>
      <c r="P143" s="252">
        <f t="shared" si="34"/>
        <v>1770720.0000000002</v>
      </c>
      <c r="Q143" s="250"/>
    </row>
    <row r="144" spans="1:17" ht="19.5" customHeight="1" x14ac:dyDescent="0.3">
      <c r="A144" s="75"/>
      <c r="B144" s="72" t="s">
        <v>610</v>
      </c>
      <c r="C144" s="72"/>
      <c r="D144" s="73">
        <f>SUM(D136:D143)</f>
        <v>66</v>
      </c>
      <c r="E144" s="74"/>
      <c r="F144" s="73">
        <f>SUM(F142:F143)</f>
        <v>1.4000000000000001</v>
      </c>
      <c r="G144" s="83">
        <f>SUM(G140:G143)</f>
        <v>3.5100000000000007</v>
      </c>
      <c r="H144" s="73">
        <f>SUM(H136:H143)</f>
        <v>9.1749999999999989</v>
      </c>
      <c r="I144" s="83">
        <f>SUM(I109:I143)</f>
        <v>0</v>
      </c>
      <c r="J144" s="83">
        <f>SUM(J109:J143)</f>
        <v>0</v>
      </c>
      <c r="K144" s="267">
        <f>SUM(K136:K143)</f>
        <v>4</v>
      </c>
      <c r="L144" s="83">
        <f>SUM(L136:L143)</f>
        <v>1.5</v>
      </c>
      <c r="M144" s="83">
        <f>SUM(M136:M143)</f>
        <v>5.5</v>
      </c>
      <c r="N144" s="76"/>
      <c r="O144" s="77"/>
      <c r="P144" s="168">
        <f>SUM(P136:P143)</f>
        <v>29202930.000000004</v>
      </c>
      <c r="Q144" s="75"/>
    </row>
    <row r="145" spans="1:15" ht="16.5" customHeight="1" x14ac:dyDescent="0.3">
      <c r="F145" s="2"/>
      <c r="G145" s="2"/>
      <c r="H145" s="2"/>
      <c r="I145" s="2"/>
      <c r="J145" s="2" t="s">
        <v>681</v>
      </c>
      <c r="K145" s="2"/>
      <c r="L145" s="2"/>
      <c r="M145" s="2"/>
    </row>
    <row r="146" spans="1:15" ht="12" customHeight="1" x14ac:dyDescent="0.3">
      <c r="A146" s="395" t="s">
        <v>80</v>
      </c>
      <c r="B146" s="395"/>
      <c r="C146" s="395"/>
      <c r="D146" s="395"/>
    </row>
    <row r="147" spans="1:15" x14ac:dyDescent="0.3">
      <c r="A147" s="395" t="s">
        <v>81</v>
      </c>
      <c r="B147" s="395"/>
      <c r="C147" s="395"/>
      <c r="D147" s="395"/>
      <c r="J147" s="1" t="s">
        <v>85</v>
      </c>
    </row>
    <row r="148" spans="1:15" x14ac:dyDescent="0.3">
      <c r="A148" s="395" t="s">
        <v>82</v>
      </c>
      <c r="B148" s="395"/>
      <c r="C148" s="395"/>
      <c r="D148" s="395"/>
      <c r="J148" s="3" t="s">
        <v>86</v>
      </c>
      <c r="K148" s="1" t="s">
        <v>175</v>
      </c>
      <c r="O148" s="1" t="s">
        <v>90</v>
      </c>
    </row>
    <row r="149" spans="1:15" x14ac:dyDescent="0.3">
      <c r="A149" s="395" t="s">
        <v>83</v>
      </c>
      <c r="B149" s="395"/>
      <c r="C149" s="395"/>
      <c r="D149" s="395"/>
      <c r="K149" s="1" t="s">
        <v>651</v>
      </c>
    </row>
    <row r="150" spans="1:15" ht="9.75" customHeight="1" x14ac:dyDescent="0.3"/>
    <row r="151" spans="1:15" ht="14.25" customHeight="1" x14ac:dyDescent="0.3">
      <c r="J151" s="3" t="s">
        <v>88</v>
      </c>
      <c r="K151" s="1" t="s">
        <v>87</v>
      </c>
      <c r="O151" s="1" t="s">
        <v>90</v>
      </c>
    </row>
    <row r="152" spans="1:15" x14ac:dyDescent="0.3">
      <c r="K152" s="1" t="s">
        <v>91</v>
      </c>
    </row>
    <row r="153" spans="1:15" ht="13.5" customHeight="1" x14ac:dyDescent="0.3">
      <c r="A153" s="398" t="s">
        <v>175</v>
      </c>
      <c r="B153" s="398"/>
      <c r="C153" s="398"/>
      <c r="D153" s="398"/>
    </row>
    <row r="154" spans="1:15" x14ac:dyDescent="0.3">
      <c r="A154" s="395" t="s">
        <v>190</v>
      </c>
      <c r="B154" s="395"/>
      <c r="C154" s="395"/>
      <c r="D154" s="395"/>
      <c r="J154" s="1" t="s">
        <v>254</v>
      </c>
      <c r="K154" s="1" t="s">
        <v>89</v>
      </c>
      <c r="O154" s="1" t="s">
        <v>90</v>
      </c>
    </row>
    <row r="155" spans="1:15" x14ac:dyDescent="0.3">
      <c r="K155" s="1" t="s">
        <v>92</v>
      </c>
    </row>
    <row r="156" spans="1:15" ht="8.25" customHeight="1" x14ac:dyDescent="0.3"/>
    <row r="157" spans="1:15" x14ac:dyDescent="0.3">
      <c r="J157" s="241" t="s">
        <v>265</v>
      </c>
      <c r="K157" s="1" t="s">
        <v>652</v>
      </c>
      <c r="O157" s="1" t="s">
        <v>90</v>
      </c>
    </row>
    <row r="158" spans="1:15" ht="14.25" customHeight="1" x14ac:dyDescent="0.3">
      <c r="J158" s="241"/>
      <c r="K158" s="1" t="s">
        <v>658</v>
      </c>
    </row>
    <row r="159" spans="1:15" ht="5.25" customHeight="1" x14ac:dyDescent="0.3">
      <c r="J159" s="241"/>
    </row>
    <row r="160" spans="1:15" x14ac:dyDescent="0.3">
      <c r="J160" s="241" t="s">
        <v>650</v>
      </c>
      <c r="K160" s="1" t="s">
        <v>255</v>
      </c>
      <c r="O160" s="1" t="s">
        <v>90</v>
      </c>
    </row>
    <row r="161" spans="11:11" x14ac:dyDescent="0.3">
      <c r="K161" s="1" t="s">
        <v>654</v>
      </c>
    </row>
  </sheetData>
  <mergeCells count="24">
    <mergeCell ref="A153:D153"/>
    <mergeCell ref="A154:D154"/>
    <mergeCell ref="O44:O56"/>
    <mergeCell ref="O58:O63"/>
    <mergeCell ref="A146:D146"/>
    <mergeCell ref="A147:D147"/>
    <mergeCell ref="A148:D148"/>
    <mergeCell ref="A149:D149"/>
    <mergeCell ref="O36:O42"/>
    <mergeCell ref="A1:Q1"/>
    <mergeCell ref="A2:Q2"/>
    <mergeCell ref="A6:A7"/>
    <mergeCell ref="B6:C6"/>
    <mergeCell ref="D6:D7"/>
    <mergeCell ref="E6:E7"/>
    <mergeCell ref="F6:H6"/>
    <mergeCell ref="I6:M6"/>
    <mergeCell ref="N6:O7"/>
    <mergeCell ref="P6:P7"/>
    <mergeCell ref="Q6:Q7"/>
    <mergeCell ref="B7:C7"/>
    <mergeCell ref="B24:C24"/>
    <mergeCell ref="O26:O29"/>
    <mergeCell ref="B34:C34"/>
  </mergeCells>
  <pageMargins left="0.36" right="0.70866141732283472" top="0.47" bottom="0.74803149606299213" header="0.31496062992125984" footer="0.31496062992125984"/>
  <pageSetup paperSize="5" scale="90" orientation="landscape" horizontalDpi="4294967293"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T137"/>
  <sheetViews>
    <sheetView view="pageBreakPreview" topLeftCell="A82" zoomScale="96" zoomScaleNormal="100" zoomScaleSheetLayoutView="96" workbookViewId="0">
      <selection activeCell="Q105" sqref="Q105"/>
    </sheetView>
  </sheetViews>
  <sheetFormatPr defaultColWidth="9.1796875" defaultRowHeight="14" x14ac:dyDescent="0.3"/>
  <cols>
    <col min="1" max="1" width="4.81640625" style="1" customWidth="1"/>
    <col min="2" max="2" width="2.1796875" style="1" customWidth="1"/>
    <col min="3" max="3" width="16.26953125" style="1" customWidth="1"/>
    <col min="4" max="4" width="12" style="1" customWidth="1"/>
    <col min="5" max="5" width="30.54296875" style="1" customWidth="1"/>
    <col min="6" max="6" width="11" style="1" bestFit="1" customWidth="1"/>
    <col min="7" max="7" width="8.81640625" style="1" customWidth="1"/>
    <col min="8" max="8" width="9" style="1" customWidth="1"/>
    <col min="9" max="9" width="6.7265625" style="1" customWidth="1"/>
    <col min="10" max="10" width="7" style="1" customWidth="1"/>
    <col min="11" max="12" width="7.54296875" style="1" customWidth="1"/>
    <col min="13" max="13" width="6.81640625" style="1" bestFit="1" customWidth="1"/>
    <col min="14" max="14" width="2" style="1" customWidth="1"/>
    <col min="15" max="15" width="17" style="1" customWidth="1"/>
    <col min="16" max="16" width="15" style="1" customWidth="1"/>
    <col min="17" max="17" width="8.81640625" style="1" customWidth="1"/>
    <col min="18" max="19" width="9.1796875" style="1"/>
    <col min="20" max="20" width="10.7265625" style="1" customWidth="1"/>
    <col min="21" max="16384" width="9.1796875" style="1"/>
  </cols>
  <sheetData>
    <row r="1" spans="1:20" x14ac:dyDescent="0.3">
      <c r="A1" s="385" t="s">
        <v>260</v>
      </c>
      <c r="B1" s="385"/>
      <c r="C1" s="385"/>
      <c r="D1" s="385"/>
      <c r="E1" s="385"/>
      <c r="F1" s="385"/>
      <c r="G1" s="385"/>
      <c r="H1" s="385"/>
      <c r="I1" s="385"/>
      <c r="J1" s="385"/>
      <c r="K1" s="385"/>
      <c r="L1" s="385"/>
      <c r="M1" s="385"/>
      <c r="N1" s="385"/>
      <c r="O1" s="385"/>
      <c r="P1" s="385"/>
      <c r="Q1" s="385"/>
    </row>
    <row r="2" spans="1:20" ht="14.25" customHeight="1" x14ac:dyDescent="0.3">
      <c r="A2" s="385" t="s">
        <v>646</v>
      </c>
      <c r="B2" s="385"/>
      <c r="C2" s="385"/>
      <c r="D2" s="385"/>
      <c r="E2" s="385"/>
      <c r="F2" s="385"/>
      <c r="G2" s="385"/>
      <c r="H2" s="385"/>
      <c r="I2" s="385"/>
      <c r="J2" s="385"/>
      <c r="K2" s="385"/>
      <c r="L2" s="385"/>
      <c r="M2" s="385"/>
      <c r="N2" s="385"/>
      <c r="O2" s="385"/>
      <c r="P2" s="385"/>
      <c r="Q2" s="385"/>
    </row>
    <row r="3" spans="1:20" ht="14.25" customHeight="1" x14ac:dyDescent="0.3">
      <c r="A3" s="1" t="s">
        <v>1</v>
      </c>
      <c r="C3" s="1" t="s">
        <v>603</v>
      </c>
    </row>
    <row r="4" spans="1:20" ht="14.25" customHeight="1" x14ac:dyDescent="0.3">
      <c r="A4" s="1" t="s">
        <v>2</v>
      </c>
      <c r="C4" s="1" t="s">
        <v>682</v>
      </c>
      <c r="D4" s="4"/>
    </row>
    <row r="5" spans="1:20" ht="6" customHeight="1" x14ac:dyDescent="0.3"/>
    <row r="6" spans="1:20" ht="19.5" customHeight="1" x14ac:dyDescent="0.3">
      <c r="A6" s="386" t="s">
        <v>3</v>
      </c>
      <c r="B6" s="388" t="s">
        <v>4</v>
      </c>
      <c r="C6" s="388"/>
      <c r="D6" s="391" t="s">
        <v>259</v>
      </c>
      <c r="E6" s="391" t="s">
        <v>7</v>
      </c>
      <c r="F6" s="393" t="s">
        <v>170</v>
      </c>
      <c r="G6" s="393"/>
      <c r="H6" s="393"/>
      <c r="I6" s="393" t="s">
        <v>12</v>
      </c>
      <c r="J6" s="393"/>
      <c r="K6" s="393"/>
      <c r="L6" s="393"/>
      <c r="M6" s="393"/>
      <c r="N6" s="391" t="s">
        <v>17</v>
      </c>
      <c r="O6" s="391"/>
      <c r="P6" s="391" t="s">
        <v>258</v>
      </c>
      <c r="Q6" s="386" t="s">
        <v>192</v>
      </c>
    </row>
    <row r="7" spans="1:20" ht="24.75" customHeight="1" x14ac:dyDescent="0.3">
      <c r="A7" s="387"/>
      <c r="B7" s="394" t="s">
        <v>5</v>
      </c>
      <c r="C7" s="394"/>
      <c r="D7" s="392"/>
      <c r="E7" s="392"/>
      <c r="F7" s="147" t="s">
        <v>9</v>
      </c>
      <c r="G7" s="147" t="s">
        <v>10</v>
      </c>
      <c r="H7" s="147" t="s">
        <v>11</v>
      </c>
      <c r="I7" s="147" t="s">
        <v>16</v>
      </c>
      <c r="J7" s="147" t="s">
        <v>13</v>
      </c>
      <c r="K7" s="147" t="s">
        <v>14</v>
      </c>
      <c r="L7" s="148" t="s">
        <v>257</v>
      </c>
      <c r="M7" s="147" t="s">
        <v>11</v>
      </c>
      <c r="N7" s="392"/>
      <c r="O7" s="392"/>
      <c r="P7" s="392"/>
      <c r="Q7" s="387"/>
    </row>
    <row r="8" spans="1:20" ht="6" customHeight="1" x14ac:dyDescent="0.3">
      <c r="A8" s="5"/>
      <c r="B8" s="8"/>
      <c r="C8" s="10"/>
      <c r="D8" s="5"/>
      <c r="E8" s="5"/>
      <c r="F8" s="5"/>
      <c r="G8" s="5"/>
      <c r="H8" s="5"/>
      <c r="I8" s="5"/>
      <c r="J8" s="5"/>
      <c r="K8" s="5"/>
      <c r="L8" s="5"/>
      <c r="M8" s="5"/>
      <c r="N8" s="8"/>
      <c r="O8" s="10"/>
      <c r="P8" s="10"/>
      <c r="Q8" s="5"/>
    </row>
    <row r="9" spans="1:20" ht="18" customHeight="1" x14ac:dyDescent="0.3">
      <c r="A9" s="13">
        <v>1</v>
      </c>
      <c r="B9" s="14" t="s">
        <v>20</v>
      </c>
      <c r="C9" s="15"/>
      <c r="D9" s="16"/>
      <c r="E9" s="47"/>
      <c r="F9" s="16"/>
      <c r="G9" s="16"/>
      <c r="H9" s="16"/>
      <c r="I9" s="16"/>
      <c r="J9" s="16"/>
      <c r="K9" s="16"/>
      <c r="L9" s="16"/>
      <c r="M9" s="16"/>
      <c r="N9" s="35"/>
      <c r="O9" s="36"/>
      <c r="P9" s="226"/>
      <c r="Q9" s="16"/>
    </row>
    <row r="10" spans="1:20" ht="34.5" customHeight="1" x14ac:dyDescent="0.3">
      <c r="A10" s="13"/>
      <c r="B10" s="17" t="s">
        <v>57</v>
      </c>
      <c r="C10" s="15" t="s">
        <v>21</v>
      </c>
      <c r="D10" s="18">
        <v>430.06</v>
      </c>
      <c r="E10" s="49" t="s">
        <v>649</v>
      </c>
      <c r="F10" s="26">
        <f>2%*D10</f>
        <v>8.6012000000000004</v>
      </c>
      <c r="G10" s="26">
        <f>0.5%*D10</f>
        <v>2.1503000000000001</v>
      </c>
      <c r="H10" s="26">
        <f>SUM(F10:G10)</f>
        <v>10.7515</v>
      </c>
      <c r="I10" s="19">
        <v>0</v>
      </c>
      <c r="J10" s="19"/>
      <c r="K10" s="19">
        <v>5</v>
      </c>
      <c r="L10" s="19">
        <v>4</v>
      </c>
      <c r="M10" s="20">
        <f>SUM(I10:L10)</f>
        <v>9</v>
      </c>
      <c r="N10" s="37"/>
      <c r="O10" s="36"/>
      <c r="P10" s="227">
        <f t="shared" ref="P10:P23" si="0">G10*0.261*12%*0</f>
        <v>0</v>
      </c>
      <c r="Q10" s="16"/>
      <c r="S10" s="1" t="s">
        <v>333</v>
      </c>
      <c r="T10" s="1" t="s">
        <v>341</v>
      </c>
    </row>
    <row r="11" spans="1:20" ht="21.75" customHeight="1" x14ac:dyDescent="0.3">
      <c r="A11" s="13"/>
      <c r="B11" s="14"/>
      <c r="C11" s="15"/>
      <c r="D11" s="18"/>
      <c r="E11" s="47" t="s">
        <v>37</v>
      </c>
      <c r="F11" s="26">
        <f>2%*D10</f>
        <v>8.6012000000000004</v>
      </c>
      <c r="G11" s="26">
        <f>0.6%*D10</f>
        <v>2.5803600000000002</v>
      </c>
      <c r="H11" s="26">
        <f>SUM(F11:G11)</f>
        <v>11.181560000000001</v>
      </c>
      <c r="I11" s="19">
        <v>0</v>
      </c>
      <c r="J11" s="19"/>
      <c r="K11" s="19"/>
      <c r="L11" s="19">
        <v>2</v>
      </c>
      <c r="M11" s="20">
        <f t="shared" ref="M11:M23" si="1">SUM(I11:L11)</f>
        <v>2</v>
      </c>
      <c r="N11" s="37" t="s">
        <v>51</v>
      </c>
      <c r="O11" s="38" t="s">
        <v>50</v>
      </c>
      <c r="P11" s="227">
        <f t="shared" si="0"/>
        <v>0</v>
      </c>
      <c r="Q11" s="16"/>
    </row>
    <row r="12" spans="1:20" ht="24.75" customHeight="1" x14ac:dyDescent="0.3">
      <c r="A12" s="13"/>
      <c r="B12" s="14"/>
      <c r="C12" s="15"/>
      <c r="D12" s="18"/>
      <c r="E12" s="47" t="s">
        <v>38</v>
      </c>
      <c r="F12" s="26">
        <f>2%*D10</f>
        <v>8.6012000000000004</v>
      </c>
      <c r="G12" s="26">
        <f>2%*D10</f>
        <v>8.6012000000000004</v>
      </c>
      <c r="H12" s="26">
        <f>SUM(F12:G12)</f>
        <v>17.202400000000001</v>
      </c>
      <c r="I12" s="19">
        <v>0</v>
      </c>
      <c r="J12" s="19"/>
      <c r="K12" s="19"/>
      <c r="L12" s="19">
        <v>5</v>
      </c>
      <c r="M12" s="20">
        <f t="shared" si="1"/>
        <v>5</v>
      </c>
      <c r="N12" s="37" t="s">
        <v>51</v>
      </c>
      <c r="O12" s="36" t="s">
        <v>678</v>
      </c>
      <c r="P12" s="227">
        <f t="shared" si="0"/>
        <v>0</v>
      </c>
      <c r="Q12" s="16"/>
      <c r="S12" s="1" t="s">
        <v>343</v>
      </c>
    </row>
    <row r="13" spans="1:20" ht="31.5" customHeight="1" x14ac:dyDescent="0.3">
      <c r="A13" s="102"/>
      <c r="B13" s="98"/>
      <c r="C13" s="99"/>
      <c r="D13" s="255"/>
      <c r="E13" s="101" t="s">
        <v>39</v>
      </c>
      <c r="F13" s="96">
        <f>20%*D10</f>
        <v>86.012</v>
      </c>
      <c r="G13" s="96">
        <f>5%*D10</f>
        <v>21.503</v>
      </c>
      <c r="H13" s="96">
        <f>SUM(F13:G13)</f>
        <v>107.515</v>
      </c>
      <c r="I13" s="97">
        <v>0</v>
      </c>
      <c r="J13" s="97">
        <v>0</v>
      </c>
      <c r="K13" s="97">
        <v>0</v>
      </c>
      <c r="L13" s="97">
        <v>5</v>
      </c>
      <c r="M13" s="121">
        <f t="shared" si="1"/>
        <v>5</v>
      </c>
      <c r="N13" s="256" t="s">
        <v>51</v>
      </c>
      <c r="O13" s="169" t="s">
        <v>48</v>
      </c>
      <c r="P13" s="228">
        <f t="shared" si="0"/>
        <v>0</v>
      </c>
      <c r="Q13" s="257"/>
      <c r="S13" s="1" t="s">
        <v>342</v>
      </c>
    </row>
    <row r="14" spans="1:20" ht="24.75" customHeight="1" x14ac:dyDescent="0.3">
      <c r="A14" s="13"/>
      <c r="B14" s="17" t="s">
        <v>58</v>
      </c>
      <c r="C14" s="15" t="s">
        <v>22</v>
      </c>
      <c r="D14" s="18">
        <v>856.82</v>
      </c>
      <c r="E14" s="47" t="s">
        <v>36</v>
      </c>
      <c r="F14" s="26">
        <f>3%*D14</f>
        <v>25.704599999999999</v>
      </c>
      <c r="G14" s="26">
        <f>6%*D14</f>
        <v>51.409199999999998</v>
      </c>
      <c r="H14" s="26">
        <f>SUM(F14:G14)</f>
        <v>77.113799999999998</v>
      </c>
      <c r="I14" s="19">
        <v>0</v>
      </c>
      <c r="J14" s="19"/>
      <c r="K14" s="19">
        <v>3</v>
      </c>
      <c r="L14" s="19">
        <v>6</v>
      </c>
      <c r="M14" s="20">
        <f t="shared" si="1"/>
        <v>9</v>
      </c>
      <c r="N14" s="35" t="s">
        <v>51</v>
      </c>
      <c r="O14" s="41" t="s">
        <v>137</v>
      </c>
      <c r="P14" s="227">
        <f t="shared" si="0"/>
        <v>0</v>
      </c>
      <c r="Q14" s="16"/>
    </row>
    <row r="15" spans="1:20" ht="18.75" customHeight="1" x14ac:dyDescent="0.3">
      <c r="A15" s="13"/>
      <c r="B15" s="14"/>
      <c r="C15" s="15"/>
      <c r="D15" s="26"/>
      <c r="E15" s="47" t="s">
        <v>37</v>
      </c>
      <c r="F15" s="26">
        <f>3%*D14</f>
        <v>25.704599999999999</v>
      </c>
      <c r="G15" s="26">
        <f>3%*D14</f>
        <v>25.704599999999999</v>
      </c>
      <c r="H15" s="26">
        <f t="shared" ref="H15:H17" si="2">SUM(F15:G15)</f>
        <v>51.409199999999998</v>
      </c>
      <c r="I15" s="19">
        <v>0</v>
      </c>
      <c r="J15" s="19"/>
      <c r="K15" s="19"/>
      <c r="L15" s="19">
        <v>5</v>
      </c>
      <c r="M15" s="20">
        <f t="shared" si="1"/>
        <v>5</v>
      </c>
      <c r="N15" s="35"/>
      <c r="O15" s="36"/>
      <c r="P15" s="227">
        <f t="shared" si="0"/>
        <v>0</v>
      </c>
      <c r="Q15" s="16"/>
      <c r="S15" s="1" t="s">
        <v>344</v>
      </c>
    </row>
    <row r="16" spans="1:20" ht="18.75" customHeight="1" x14ac:dyDescent="0.3">
      <c r="A16" s="13"/>
      <c r="B16" s="14"/>
      <c r="C16" s="15"/>
      <c r="D16" s="26"/>
      <c r="E16" s="47" t="s">
        <v>38</v>
      </c>
      <c r="F16" s="26">
        <f>2%*D14</f>
        <v>17.136400000000002</v>
      </c>
      <c r="G16" s="26">
        <f>3%*D14</f>
        <v>25.704599999999999</v>
      </c>
      <c r="H16" s="26">
        <f t="shared" si="2"/>
        <v>42.841000000000001</v>
      </c>
      <c r="I16" s="19">
        <v>0</v>
      </c>
      <c r="J16" s="19"/>
      <c r="K16" s="19"/>
      <c r="L16" s="19">
        <v>6</v>
      </c>
      <c r="M16" s="20">
        <f t="shared" si="1"/>
        <v>6</v>
      </c>
      <c r="N16" s="35"/>
      <c r="O16" s="36"/>
      <c r="P16" s="227">
        <f t="shared" si="0"/>
        <v>0</v>
      </c>
      <c r="Q16" s="16"/>
      <c r="S16" s="1" t="s">
        <v>345</v>
      </c>
    </row>
    <row r="17" spans="1:20" ht="17.25" customHeight="1" x14ac:dyDescent="0.3">
      <c r="A17" s="54"/>
      <c r="B17" s="55"/>
      <c r="C17" s="56"/>
      <c r="D17" s="57"/>
      <c r="E17" s="58" t="s">
        <v>39</v>
      </c>
      <c r="F17" s="119">
        <f>2%*D14</f>
        <v>17.136400000000002</v>
      </c>
      <c r="G17" s="119">
        <f>3%*D14</f>
        <v>25.704599999999999</v>
      </c>
      <c r="H17" s="119">
        <f t="shared" si="2"/>
        <v>42.841000000000001</v>
      </c>
      <c r="I17" s="59">
        <v>0</v>
      </c>
      <c r="J17" s="59">
        <v>0</v>
      </c>
      <c r="K17" s="59">
        <v>0</v>
      </c>
      <c r="L17" s="59">
        <v>6</v>
      </c>
      <c r="M17" s="60">
        <f t="shared" si="1"/>
        <v>6</v>
      </c>
      <c r="N17" s="42"/>
      <c r="O17" s="38"/>
      <c r="P17" s="227">
        <f t="shared" si="0"/>
        <v>0</v>
      </c>
      <c r="Q17" s="29"/>
    </row>
    <row r="18" spans="1:20" ht="21" customHeight="1" x14ac:dyDescent="0.3">
      <c r="A18" s="54"/>
      <c r="B18" s="55" t="s">
        <v>59</v>
      </c>
      <c r="C18" s="56" t="s">
        <v>27</v>
      </c>
      <c r="D18" s="18">
        <v>113.45</v>
      </c>
      <c r="E18" s="47" t="s">
        <v>36</v>
      </c>
      <c r="F18" s="26">
        <f>15%*D18</f>
        <v>17.017499999999998</v>
      </c>
      <c r="G18" s="26">
        <f>3%*F18</f>
        <v>0.5105249999999999</v>
      </c>
      <c r="H18" s="26">
        <f>SUM(F18:G18)</f>
        <v>17.528025</v>
      </c>
      <c r="I18" s="19">
        <v>0</v>
      </c>
      <c r="J18" s="19"/>
      <c r="K18" s="19">
        <v>2</v>
      </c>
      <c r="L18" s="19">
        <v>3</v>
      </c>
      <c r="M18" s="20">
        <f t="shared" si="1"/>
        <v>5</v>
      </c>
      <c r="N18" s="42"/>
      <c r="O18" s="38"/>
      <c r="P18" s="227">
        <f t="shared" si="0"/>
        <v>0</v>
      </c>
      <c r="Q18" s="29"/>
    </row>
    <row r="19" spans="1:20" ht="18.75" customHeight="1" x14ac:dyDescent="0.3">
      <c r="A19" s="54"/>
      <c r="B19" s="55"/>
      <c r="C19" s="56"/>
      <c r="D19" s="26"/>
      <c r="E19" s="47" t="s">
        <v>37</v>
      </c>
      <c r="F19" s="26">
        <f>2%*D18</f>
        <v>2.2690000000000001</v>
      </c>
      <c r="G19" s="26">
        <f>3%*D18</f>
        <v>3.4034999999999997</v>
      </c>
      <c r="H19" s="26">
        <f t="shared" ref="H19:H20" si="3">SUM(F19:G19)</f>
        <v>5.6724999999999994</v>
      </c>
      <c r="I19" s="19">
        <v>0</v>
      </c>
      <c r="J19" s="19"/>
      <c r="K19" s="19"/>
      <c r="L19" s="19">
        <v>6</v>
      </c>
      <c r="M19" s="20">
        <f t="shared" si="1"/>
        <v>6</v>
      </c>
      <c r="N19" s="42"/>
      <c r="O19" s="38"/>
      <c r="P19" s="227">
        <f t="shared" si="0"/>
        <v>0</v>
      </c>
      <c r="Q19" s="29"/>
    </row>
    <row r="20" spans="1:20" ht="21.75" customHeight="1" x14ac:dyDescent="0.3">
      <c r="A20" s="54"/>
      <c r="B20" s="55"/>
      <c r="C20" s="56"/>
      <c r="D20" s="26"/>
      <c r="E20" s="47" t="s">
        <v>38</v>
      </c>
      <c r="F20" s="26">
        <f>3%*D18</f>
        <v>3.4034999999999997</v>
      </c>
      <c r="G20" s="26">
        <f>5%*D18</f>
        <v>5.6725000000000003</v>
      </c>
      <c r="H20" s="26">
        <f t="shared" si="3"/>
        <v>9.0760000000000005</v>
      </c>
      <c r="I20" s="19">
        <v>0</v>
      </c>
      <c r="J20" s="19"/>
      <c r="K20" s="19"/>
      <c r="L20" s="19">
        <v>3</v>
      </c>
      <c r="M20" s="20">
        <f t="shared" si="1"/>
        <v>3</v>
      </c>
      <c r="N20" s="42"/>
      <c r="O20" s="38"/>
      <c r="P20" s="227">
        <f t="shared" si="0"/>
        <v>0</v>
      </c>
      <c r="Q20" s="29"/>
    </row>
    <row r="21" spans="1:20" ht="20.25" customHeight="1" x14ac:dyDescent="0.3">
      <c r="A21" s="13"/>
      <c r="B21" s="17" t="s">
        <v>60</v>
      </c>
      <c r="C21" s="15" t="s">
        <v>42</v>
      </c>
      <c r="D21" s="18">
        <v>527.28</v>
      </c>
      <c r="E21" s="47" t="s">
        <v>36</v>
      </c>
      <c r="F21" s="26">
        <f>25%*D18</f>
        <v>28.362500000000001</v>
      </c>
      <c r="G21" s="26">
        <f>4%*D21</f>
        <v>21.091200000000001</v>
      </c>
      <c r="H21" s="26">
        <f>SUM(F21:G21)</f>
        <v>49.453699999999998</v>
      </c>
      <c r="I21" s="19">
        <v>0</v>
      </c>
      <c r="J21" s="19"/>
      <c r="K21" s="19">
        <v>4</v>
      </c>
      <c r="L21" s="19">
        <v>5</v>
      </c>
      <c r="M21" s="20">
        <f t="shared" si="1"/>
        <v>9</v>
      </c>
      <c r="N21" s="35"/>
      <c r="O21" s="36"/>
      <c r="P21" s="227">
        <f t="shared" si="0"/>
        <v>0</v>
      </c>
      <c r="Q21" s="29"/>
    </row>
    <row r="22" spans="1:20" ht="24.75" customHeight="1" x14ac:dyDescent="0.3">
      <c r="A22" s="13"/>
      <c r="B22" s="14"/>
      <c r="C22" s="15"/>
      <c r="D22" s="26"/>
      <c r="E22" s="47" t="s">
        <v>37</v>
      </c>
      <c r="F22" s="26">
        <f>25%*D21</f>
        <v>131.82</v>
      </c>
      <c r="G22" s="26">
        <f>2%*D21</f>
        <v>10.5456</v>
      </c>
      <c r="H22" s="26">
        <f t="shared" ref="H22:H23" si="4">SUM(F22:G22)</f>
        <v>142.3656</v>
      </c>
      <c r="I22" s="19">
        <v>0</v>
      </c>
      <c r="J22" s="19"/>
      <c r="K22" s="19"/>
      <c r="L22" s="19">
        <v>4</v>
      </c>
      <c r="M22" s="20">
        <f t="shared" si="1"/>
        <v>4</v>
      </c>
      <c r="N22" s="35"/>
      <c r="O22" s="36"/>
      <c r="P22" s="227">
        <f t="shared" si="0"/>
        <v>0</v>
      </c>
      <c r="Q22" s="29"/>
    </row>
    <row r="23" spans="1:20" ht="25.5" customHeight="1" x14ac:dyDescent="0.3">
      <c r="A23" s="13"/>
      <c r="B23" s="14"/>
      <c r="C23" s="15"/>
      <c r="D23" s="26"/>
      <c r="E23" s="47" t="s">
        <v>38</v>
      </c>
      <c r="F23" s="26">
        <f>3%*D21</f>
        <v>15.818399999999999</v>
      </c>
      <c r="G23" s="26">
        <f>6%*D21</f>
        <v>31.636799999999997</v>
      </c>
      <c r="H23" s="26">
        <f t="shared" si="4"/>
        <v>47.455199999999998</v>
      </c>
      <c r="I23" s="19">
        <v>0</v>
      </c>
      <c r="J23" s="19"/>
      <c r="K23" s="19"/>
      <c r="L23" s="19">
        <v>2</v>
      </c>
      <c r="M23" s="20">
        <f t="shared" si="1"/>
        <v>2</v>
      </c>
      <c r="N23" s="80"/>
      <c r="O23" s="81"/>
      <c r="P23" s="227">
        <f t="shared" si="0"/>
        <v>0</v>
      </c>
      <c r="Q23" s="88"/>
    </row>
    <row r="24" spans="1:20" ht="18.75" customHeight="1" x14ac:dyDescent="0.3">
      <c r="A24" s="89"/>
      <c r="B24" s="402" t="s">
        <v>325</v>
      </c>
      <c r="C24" s="403"/>
      <c r="D24" s="73">
        <f>SUM(D9:D17)</f>
        <v>1286.8800000000001</v>
      </c>
      <c r="E24" s="74"/>
      <c r="F24" s="118">
        <f>SUM(F10:F23)</f>
        <v>396.18850000000003</v>
      </c>
      <c r="G24" s="118">
        <f>SUM(G23,G20,G17,G13)</f>
        <v>84.516899999999993</v>
      </c>
      <c r="H24" s="118">
        <f>F24+G24</f>
        <v>480.70540000000005</v>
      </c>
      <c r="I24" s="75">
        <f>SUM(I9:I17)</f>
        <v>0</v>
      </c>
      <c r="J24" s="75">
        <f>SUM(J9:J17)</f>
        <v>0</v>
      </c>
      <c r="K24" s="75">
        <f>SUM(K8:K23)</f>
        <v>14</v>
      </c>
      <c r="L24" s="160">
        <f>SUM(L10:L23)</f>
        <v>62</v>
      </c>
      <c r="M24" s="160">
        <f>SUM(M10:M23)</f>
        <v>76</v>
      </c>
      <c r="N24" s="76"/>
      <c r="O24" s="77"/>
      <c r="P24" s="229">
        <f>SUM(P10:P23)</f>
        <v>0</v>
      </c>
      <c r="Q24" s="75"/>
    </row>
    <row r="25" spans="1:20" ht="18.75" customHeight="1" x14ac:dyDescent="0.3">
      <c r="A25" s="268"/>
      <c r="B25" s="268"/>
      <c r="C25" s="268"/>
      <c r="D25" s="272"/>
      <c r="E25" s="270"/>
      <c r="F25" s="277"/>
      <c r="G25" s="277"/>
      <c r="H25" s="277"/>
      <c r="I25" s="177"/>
      <c r="J25" s="177"/>
      <c r="K25" s="177"/>
      <c r="L25" s="278"/>
      <c r="M25" s="278"/>
      <c r="N25" s="270"/>
      <c r="O25" s="270"/>
      <c r="P25" s="279"/>
      <c r="Q25" s="177"/>
    </row>
    <row r="26" spans="1:20" ht="18.75" customHeight="1" x14ac:dyDescent="0.3">
      <c r="A26" s="150"/>
      <c r="B26" s="150"/>
      <c r="C26" s="150"/>
      <c r="D26" s="273"/>
      <c r="E26" s="41"/>
      <c r="F26" s="280"/>
      <c r="G26" s="280"/>
      <c r="H26" s="280"/>
      <c r="L26" s="164"/>
      <c r="M26" s="164"/>
      <c r="N26" s="41"/>
      <c r="O26" s="41"/>
      <c r="P26" s="281"/>
    </row>
    <row r="27" spans="1:20" ht="18.75" customHeight="1" x14ac:dyDescent="0.3">
      <c r="A27" s="150"/>
      <c r="B27" s="150"/>
      <c r="C27" s="150"/>
      <c r="D27" s="273"/>
      <c r="E27" s="41"/>
      <c r="F27" s="280"/>
      <c r="G27" s="280"/>
      <c r="H27" s="280"/>
      <c r="L27" s="164"/>
      <c r="M27" s="164"/>
      <c r="N27" s="41"/>
      <c r="O27" s="41"/>
      <c r="P27" s="281"/>
    </row>
    <row r="28" spans="1:20" ht="18.75" customHeight="1" x14ac:dyDescent="0.3">
      <c r="A28" s="150"/>
      <c r="B28" s="150"/>
      <c r="C28" s="150"/>
      <c r="D28" s="273"/>
      <c r="E28" s="41"/>
      <c r="F28" s="280"/>
      <c r="G28" s="280"/>
      <c r="H28" s="280"/>
      <c r="L28" s="164"/>
      <c r="M28" s="164"/>
      <c r="N28" s="41"/>
      <c r="O28" s="41"/>
      <c r="P28" s="281"/>
    </row>
    <row r="29" spans="1:20" ht="18.75" customHeight="1" x14ac:dyDescent="0.3">
      <c r="A29" s="150"/>
      <c r="B29" s="150"/>
      <c r="C29" s="150"/>
      <c r="D29" s="273"/>
      <c r="E29" s="41"/>
      <c r="F29" s="280"/>
      <c r="G29" s="280"/>
      <c r="H29" s="280"/>
      <c r="L29" s="164"/>
      <c r="M29" s="164"/>
      <c r="N29" s="41"/>
      <c r="O29" s="41"/>
      <c r="P29" s="281"/>
    </row>
    <row r="30" spans="1:20" ht="18.75" customHeight="1" x14ac:dyDescent="0.3">
      <c r="A30" s="150"/>
      <c r="B30" s="150"/>
      <c r="C30" s="150"/>
      <c r="D30" s="273"/>
      <c r="E30" s="41"/>
      <c r="F30" s="280"/>
      <c r="G30" s="280"/>
      <c r="H30" s="280"/>
      <c r="L30" s="164"/>
      <c r="M30" s="164"/>
      <c r="N30" s="41"/>
      <c r="O30" s="41"/>
      <c r="P30" s="281"/>
    </row>
    <row r="31" spans="1:20" ht="17.25" customHeight="1" x14ac:dyDescent="0.3">
      <c r="A31" s="63">
        <v>2</v>
      </c>
      <c r="B31" s="64" t="s">
        <v>23</v>
      </c>
      <c r="C31" s="65"/>
      <c r="D31" s="66"/>
      <c r="E31" s="67"/>
      <c r="F31" s="68"/>
      <c r="G31" s="68"/>
      <c r="H31" s="68"/>
      <c r="I31" s="68"/>
      <c r="J31" s="68"/>
      <c r="K31" s="68"/>
      <c r="L31" s="68"/>
      <c r="M31" s="68"/>
      <c r="N31" s="69"/>
      <c r="O31" s="70"/>
      <c r="P31" s="230"/>
      <c r="Q31" s="68"/>
      <c r="S31" s="1" t="s">
        <v>333</v>
      </c>
    </row>
    <row r="32" spans="1:20" ht="21" customHeight="1" x14ac:dyDescent="0.3">
      <c r="A32" s="13"/>
      <c r="B32" s="14" t="s">
        <v>57</v>
      </c>
      <c r="C32" s="15" t="s">
        <v>22</v>
      </c>
      <c r="D32" s="26">
        <v>203.28</v>
      </c>
      <c r="E32" s="47" t="s">
        <v>40</v>
      </c>
      <c r="F32" s="19">
        <f>3%*D32</f>
        <v>6.0983999999999998</v>
      </c>
      <c r="G32" s="224">
        <f>4%*D32</f>
        <v>8.1311999999999998</v>
      </c>
      <c r="H32" s="19">
        <f t="shared" ref="H32" si="5">SUM(F32:G32)</f>
        <v>14.2296</v>
      </c>
      <c r="I32" s="19">
        <v>0</v>
      </c>
      <c r="J32" s="19">
        <v>0</v>
      </c>
      <c r="K32" s="19">
        <v>5</v>
      </c>
      <c r="L32" s="19">
        <v>6</v>
      </c>
      <c r="M32" s="20">
        <f t="shared" ref="M32:M39" si="6">SUM(I32:L32)</f>
        <v>11</v>
      </c>
      <c r="N32" s="37" t="s">
        <v>51</v>
      </c>
      <c r="O32" s="399" t="s">
        <v>674</v>
      </c>
      <c r="P32" s="231">
        <f t="shared" ref="P32:P39" si="7">G32*0.52*20%*19000000</f>
        <v>16067251.200000001</v>
      </c>
      <c r="Q32" s="16"/>
      <c r="S32" s="1" t="s">
        <v>659</v>
      </c>
      <c r="T32" s="1" t="s">
        <v>661</v>
      </c>
    </row>
    <row r="33" spans="1:20" ht="23.25" customHeight="1" x14ac:dyDescent="0.3">
      <c r="A33" s="54"/>
      <c r="B33" s="55"/>
      <c r="C33" s="56"/>
      <c r="D33" s="57"/>
      <c r="E33" s="47" t="s">
        <v>629</v>
      </c>
      <c r="F33" s="135">
        <f>4%*D32</f>
        <v>8.1311999999999998</v>
      </c>
      <c r="G33" s="224">
        <f>0%*D32</f>
        <v>0</v>
      </c>
      <c r="H33" s="135">
        <f t="shared" ref="H33:H36" si="8">SUM(F33:G33)</f>
        <v>8.1311999999999998</v>
      </c>
      <c r="I33" s="19"/>
      <c r="J33" s="19"/>
      <c r="K33" s="19"/>
      <c r="L33" s="19">
        <v>5</v>
      </c>
      <c r="M33" s="20">
        <f t="shared" si="6"/>
        <v>5</v>
      </c>
      <c r="N33" s="37"/>
      <c r="O33" s="401"/>
      <c r="P33" s="231">
        <f t="shared" si="7"/>
        <v>0</v>
      </c>
      <c r="Q33" s="16"/>
    </row>
    <row r="34" spans="1:20" ht="19.5" customHeight="1" x14ac:dyDescent="0.3">
      <c r="A34" s="54"/>
      <c r="B34" s="55"/>
      <c r="C34" s="56"/>
      <c r="D34" s="57"/>
      <c r="E34" s="47" t="s">
        <v>669</v>
      </c>
      <c r="F34" s="19">
        <f>3%*D32</f>
        <v>6.0983999999999998</v>
      </c>
      <c r="G34" s="224">
        <f>2%*D32</f>
        <v>4.0655999999999999</v>
      </c>
      <c r="H34" s="135">
        <f>F34+G34</f>
        <v>10.164</v>
      </c>
      <c r="I34" s="19"/>
      <c r="J34" s="19"/>
      <c r="K34" s="19"/>
      <c r="L34" s="19"/>
      <c r="M34" s="20"/>
      <c r="N34" s="37"/>
      <c r="O34" s="401"/>
      <c r="P34" s="231">
        <f t="shared" si="7"/>
        <v>8033625.6000000006</v>
      </c>
      <c r="Q34" s="16"/>
    </row>
    <row r="35" spans="1:20" ht="20.25" customHeight="1" x14ac:dyDescent="0.3">
      <c r="A35" s="54"/>
      <c r="B35" s="55" t="s">
        <v>58</v>
      </c>
      <c r="C35" s="56" t="s">
        <v>42</v>
      </c>
      <c r="D35" s="57">
        <v>57</v>
      </c>
      <c r="E35" s="47" t="s">
        <v>40</v>
      </c>
      <c r="F35" s="19">
        <f>15%*D35</f>
        <v>8.5499999999999989</v>
      </c>
      <c r="G35" s="224">
        <f>4%*D35</f>
        <v>2.2800000000000002</v>
      </c>
      <c r="H35" s="135">
        <f t="shared" si="8"/>
        <v>10.829999999999998</v>
      </c>
      <c r="I35" s="19">
        <v>0</v>
      </c>
      <c r="J35" s="19"/>
      <c r="K35" s="19">
        <v>4</v>
      </c>
      <c r="L35" s="19">
        <v>3</v>
      </c>
      <c r="M35" s="20">
        <f t="shared" si="6"/>
        <v>7</v>
      </c>
      <c r="N35" s="37"/>
      <c r="O35" s="400"/>
      <c r="P35" s="231">
        <f t="shared" si="7"/>
        <v>4505280.0000000009</v>
      </c>
      <c r="Q35" s="16"/>
      <c r="S35" s="217" t="s">
        <v>660</v>
      </c>
      <c r="T35" s="1" t="s">
        <v>334</v>
      </c>
    </row>
    <row r="36" spans="1:20" ht="21" customHeight="1" x14ac:dyDescent="0.3">
      <c r="A36" s="54"/>
      <c r="B36" s="55"/>
      <c r="C36" s="56"/>
      <c r="D36" s="57"/>
      <c r="E36" s="47" t="s">
        <v>669</v>
      </c>
      <c r="F36" s="79">
        <f>3%*D35</f>
        <v>1.71</v>
      </c>
      <c r="G36" s="224">
        <f>2%*D35</f>
        <v>1.1400000000000001</v>
      </c>
      <c r="H36" s="135">
        <f t="shared" si="8"/>
        <v>2.85</v>
      </c>
      <c r="I36" s="19"/>
      <c r="J36" s="19"/>
      <c r="K36" s="19"/>
      <c r="L36" s="19"/>
      <c r="M36" s="20"/>
      <c r="N36" s="37"/>
      <c r="O36" s="259"/>
      <c r="P36" s="231">
        <f t="shared" si="7"/>
        <v>2252640.0000000005</v>
      </c>
      <c r="Q36" s="16"/>
      <c r="S36" s="217"/>
    </row>
    <row r="37" spans="1:20" ht="21" customHeight="1" x14ac:dyDescent="0.3">
      <c r="A37" s="13"/>
      <c r="B37" s="14"/>
      <c r="C37" s="15"/>
      <c r="D37" s="26"/>
      <c r="E37" s="258" t="s">
        <v>670</v>
      </c>
      <c r="F37" s="135">
        <f>3%*D35</f>
        <v>1.71</v>
      </c>
      <c r="G37" s="135">
        <f>4%*D35</f>
        <v>2.2800000000000002</v>
      </c>
      <c r="H37" s="135">
        <f>F37+G37</f>
        <v>3.99</v>
      </c>
      <c r="I37" s="19">
        <v>0</v>
      </c>
      <c r="J37" s="19"/>
      <c r="K37" s="19">
        <v>2</v>
      </c>
      <c r="L37" s="19">
        <v>3</v>
      </c>
      <c r="M37" s="20">
        <f t="shared" si="6"/>
        <v>5</v>
      </c>
      <c r="N37" s="37"/>
      <c r="O37" s="259"/>
      <c r="P37" s="231">
        <f t="shared" si="7"/>
        <v>4505280.0000000009</v>
      </c>
      <c r="Q37" s="16"/>
    </row>
    <row r="38" spans="1:20" ht="21.75" customHeight="1" x14ac:dyDescent="0.3">
      <c r="A38" s="54"/>
      <c r="B38" s="55" t="s">
        <v>59</v>
      </c>
      <c r="C38" s="56" t="s">
        <v>21</v>
      </c>
      <c r="D38" s="57">
        <v>72.94</v>
      </c>
      <c r="E38" s="47" t="s">
        <v>40</v>
      </c>
      <c r="F38" s="19">
        <f>6%*D38</f>
        <v>4.3763999999999994</v>
      </c>
      <c r="G38" s="224">
        <f>2%*D38</f>
        <v>1.4587999999999999</v>
      </c>
      <c r="H38" s="135">
        <f>F38+G38</f>
        <v>5.8351999999999995</v>
      </c>
      <c r="I38" s="19">
        <v>0</v>
      </c>
      <c r="J38" s="19">
        <v>0</v>
      </c>
      <c r="K38" s="19">
        <v>1</v>
      </c>
      <c r="L38" s="19">
        <v>4</v>
      </c>
      <c r="M38" s="20">
        <f t="shared" si="6"/>
        <v>5</v>
      </c>
      <c r="N38" s="95"/>
      <c r="O38" s="260"/>
      <c r="P38" s="231">
        <f t="shared" si="7"/>
        <v>2882588.8</v>
      </c>
      <c r="Q38" s="87"/>
    </row>
    <row r="39" spans="1:20" ht="21.75" customHeight="1" x14ac:dyDescent="0.3">
      <c r="A39" s="54"/>
      <c r="B39" s="55"/>
      <c r="C39" s="56"/>
      <c r="D39" s="57"/>
      <c r="E39" s="47" t="s">
        <v>669</v>
      </c>
      <c r="F39" s="19">
        <f>3%*D38</f>
        <v>2.1881999999999997</v>
      </c>
      <c r="G39" s="224">
        <f>2%*D38</f>
        <v>1.4587999999999999</v>
      </c>
      <c r="H39" s="135">
        <f>F39+G39</f>
        <v>3.6469999999999994</v>
      </c>
      <c r="I39" s="19">
        <v>0</v>
      </c>
      <c r="J39" s="19">
        <v>0</v>
      </c>
      <c r="K39" s="19">
        <v>0</v>
      </c>
      <c r="L39" s="19">
        <v>3</v>
      </c>
      <c r="M39" s="20">
        <f t="shared" si="6"/>
        <v>3</v>
      </c>
      <c r="N39" s="95"/>
      <c r="O39" s="260"/>
      <c r="P39" s="231">
        <f t="shared" si="7"/>
        <v>2882588.8</v>
      </c>
      <c r="Q39" s="87"/>
    </row>
    <row r="40" spans="1:20" ht="22.5" customHeight="1" x14ac:dyDescent="0.3">
      <c r="A40" s="89"/>
      <c r="B40" s="415" t="s">
        <v>326</v>
      </c>
      <c r="C40" s="416"/>
      <c r="D40" s="138">
        <f>SUM(D31:D39)</f>
        <v>333.21999999999997</v>
      </c>
      <c r="E40" s="242"/>
      <c r="F40" s="140">
        <f t="shared" ref="F40:K40" si="9">SUM(F31:F39)</f>
        <v>38.8626</v>
      </c>
      <c r="G40" s="140">
        <f t="shared" si="9"/>
        <v>20.814400000000003</v>
      </c>
      <c r="H40" s="140">
        <f t="shared" si="9"/>
        <v>59.677</v>
      </c>
      <c r="I40" s="140">
        <f t="shared" si="9"/>
        <v>0</v>
      </c>
      <c r="J40" s="140">
        <f t="shared" si="9"/>
        <v>0</v>
      </c>
      <c r="K40" s="140">
        <f t="shared" si="9"/>
        <v>12</v>
      </c>
      <c r="L40" s="140">
        <f>SUM(L32:L39)</f>
        <v>24</v>
      </c>
      <c r="M40" s="140">
        <f>SUM(M31:M39)</f>
        <v>36</v>
      </c>
      <c r="N40" s="243"/>
      <c r="O40" s="244"/>
      <c r="P40" s="245">
        <f>SUM(P31:P39)</f>
        <v>41129254.399999999</v>
      </c>
      <c r="Q40" s="246"/>
    </row>
    <row r="41" spans="1:20" ht="14.25" customHeight="1" x14ac:dyDescent="0.3">
      <c r="A41" s="63">
        <v>3</v>
      </c>
      <c r="B41" s="64" t="s">
        <v>19</v>
      </c>
      <c r="C41" s="65"/>
      <c r="D41" s="66"/>
      <c r="E41" s="67"/>
      <c r="F41" s="82"/>
      <c r="G41" s="82"/>
      <c r="H41" s="82"/>
      <c r="I41" s="82"/>
      <c r="J41" s="82"/>
      <c r="K41" s="82"/>
      <c r="L41" s="82"/>
      <c r="M41" s="82"/>
      <c r="N41" s="69"/>
      <c r="O41" s="112"/>
      <c r="P41" s="233"/>
      <c r="Q41" s="68"/>
    </row>
    <row r="42" spans="1:20" ht="22.5" customHeight="1" x14ac:dyDescent="0.3">
      <c r="A42" s="13"/>
      <c r="B42" s="14" t="s">
        <v>57</v>
      </c>
      <c r="C42" s="15" t="s">
        <v>24</v>
      </c>
      <c r="D42" s="26">
        <f>1347+481.9+4</f>
        <v>1832.9</v>
      </c>
      <c r="E42" s="50" t="s">
        <v>52</v>
      </c>
      <c r="F42" s="19">
        <f>6%*D42</f>
        <v>109.974</v>
      </c>
      <c r="G42" s="26">
        <f>30%*D42</f>
        <v>549.87</v>
      </c>
      <c r="H42" s="26">
        <f>SUM(F42:G42)</f>
        <v>659.84400000000005</v>
      </c>
      <c r="I42" s="19">
        <v>0</v>
      </c>
      <c r="J42" s="19"/>
      <c r="K42" s="19">
        <v>20</v>
      </c>
      <c r="L42" s="19">
        <v>9</v>
      </c>
      <c r="M42" s="19">
        <f>SUM(I42:L42)</f>
        <v>29</v>
      </c>
      <c r="N42" s="35">
        <v>1</v>
      </c>
      <c r="O42" s="401" t="s">
        <v>677</v>
      </c>
      <c r="P42" s="234">
        <f t="shared" ref="P42:P71" si="10">G42*0.815*26%*3500000</f>
        <v>407811085.5</v>
      </c>
      <c r="Q42" s="16"/>
    </row>
    <row r="43" spans="1:20" ht="21" customHeight="1" x14ac:dyDescent="0.3">
      <c r="A43" s="13"/>
      <c r="B43" s="14"/>
      <c r="C43" s="15"/>
      <c r="D43" s="26"/>
      <c r="E43" s="47" t="s">
        <v>624</v>
      </c>
      <c r="F43" s="19">
        <f>7%*D42</f>
        <v>128.30300000000003</v>
      </c>
      <c r="G43" s="26">
        <f>3%*D42</f>
        <v>54.987000000000002</v>
      </c>
      <c r="H43" s="26">
        <f>F43+G43</f>
        <v>183.29000000000002</v>
      </c>
      <c r="I43" s="19">
        <v>0</v>
      </c>
      <c r="J43" s="19"/>
      <c r="K43" s="19">
        <v>0</v>
      </c>
      <c r="L43" s="19">
        <v>8</v>
      </c>
      <c r="M43" s="19">
        <f>SUM(I43:L43)</f>
        <v>8</v>
      </c>
      <c r="N43" s="35"/>
      <c r="O43" s="401"/>
      <c r="P43" s="234">
        <f t="shared" si="10"/>
        <v>40781108.549999997</v>
      </c>
      <c r="Q43" s="16"/>
    </row>
    <row r="44" spans="1:20" ht="21.75" customHeight="1" x14ac:dyDescent="0.3">
      <c r="A44" s="13"/>
      <c r="B44" s="14" t="s">
        <v>58</v>
      </c>
      <c r="C44" s="15" t="s">
        <v>25</v>
      </c>
      <c r="D44" s="26">
        <f>1378+343.2+4</f>
        <v>1725.2</v>
      </c>
      <c r="E44" s="50" t="s">
        <v>52</v>
      </c>
      <c r="F44" s="19">
        <f>7%*D44</f>
        <v>120.76400000000001</v>
      </c>
      <c r="G44" s="26">
        <f>10%*D44</f>
        <v>172.52</v>
      </c>
      <c r="H44" s="26">
        <f t="shared" ref="H44:H71" si="11">SUM(F44:G44)</f>
        <v>293.28399999999999</v>
      </c>
      <c r="I44" s="19">
        <v>0</v>
      </c>
      <c r="J44" s="19"/>
      <c r="K44" s="19">
        <v>5</v>
      </c>
      <c r="L44" s="19">
        <v>6</v>
      </c>
      <c r="M44" s="19">
        <f t="shared" ref="M44:M71" si="12">SUM(I44:L44)</f>
        <v>11</v>
      </c>
      <c r="N44" s="35"/>
      <c r="O44" s="401"/>
      <c r="P44" s="234">
        <f t="shared" si="10"/>
        <v>127949458.00000001</v>
      </c>
      <c r="Q44" s="16"/>
    </row>
    <row r="45" spans="1:20" ht="21" customHeight="1" x14ac:dyDescent="0.3">
      <c r="A45" s="13"/>
      <c r="B45" s="14" t="s">
        <v>59</v>
      </c>
      <c r="C45" s="15" t="s">
        <v>26</v>
      </c>
      <c r="D45" s="26">
        <f>1032+337+10</f>
        <v>1379</v>
      </c>
      <c r="E45" s="50" t="s">
        <v>52</v>
      </c>
      <c r="F45" s="19">
        <f>3%*D45</f>
        <v>41.37</v>
      </c>
      <c r="G45" s="26">
        <f>35%*D45</f>
        <v>482.65</v>
      </c>
      <c r="H45" s="26">
        <f t="shared" si="11"/>
        <v>524.02</v>
      </c>
      <c r="I45" s="19"/>
      <c r="J45" s="19"/>
      <c r="K45" s="19"/>
      <c r="L45" s="19">
        <v>4</v>
      </c>
      <c r="M45" s="19">
        <f t="shared" si="12"/>
        <v>4</v>
      </c>
      <c r="N45" s="35"/>
      <c r="O45" s="401"/>
      <c r="P45" s="234">
        <f t="shared" si="10"/>
        <v>357957372.5</v>
      </c>
      <c r="Q45" s="16"/>
      <c r="T45" s="1">
        <f>1379/16</f>
        <v>86.1875</v>
      </c>
    </row>
    <row r="46" spans="1:20" ht="16.5" customHeight="1" x14ac:dyDescent="0.3">
      <c r="A46" s="13"/>
      <c r="B46" s="14"/>
      <c r="C46" s="15"/>
      <c r="D46" s="26"/>
      <c r="E46" s="47" t="s">
        <v>624</v>
      </c>
      <c r="F46" s="19">
        <f>4%*D45</f>
        <v>55.160000000000004</v>
      </c>
      <c r="G46" s="26">
        <f>2%*D45</f>
        <v>27.580000000000002</v>
      </c>
      <c r="H46" s="26">
        <f>F46+G46</f>
        <v>82.740000000000009</v>
      </c>
      <c r="I46" s="19">
        <v>0</v>
      </c>
      <c r="J46" s="19"/>
      <c r="K46" s="19"/>
      <c r="L46" s="19">
        <v>5</v>
      </c>
      <c r="M46" s="19">
        <f>SUM(I46:L46)</f>
        <v>5</v>
      </c>
      <c r="N46" s="35"/>
      <c r="O46" s="401"/>
      <c r="P46" s="234">
        <f t="shared" si="10"/>
        <v>20454707</v>
      </c>
      <c r="Q46" s="16"/>
    </row>
    <row r="47" spans="1:20" ht="15" customHeight="1" x14ac:dyDescent="0.3">
      <c r="A47" s="13"/>
      <c r="B47" s="14" t="s">
        <v>60</v>
      </c>
      <c r="C47" s="15" t="s">
        <v>55</v>
      </c>
      <c r="D47" s="26">
        <f>312.6+146.93</f>
        <v>459.53000000000003</v>
      </c>
      <c r="E47" s="50" t="s">
        <v>52</v>
      </c>
      <c r="F47" s="19">
        <f>5%*D47</f>
        <v>22.976500000000001</v>
      </c>
      <c r="G47" s="26">
        <f>10%*D47</f>
        <v>45.953000000000003</v>
      </c>
      <c r="H47" s="26">
        <f t="shared" si="11"/>
        <v>68.929500000000004</v>
      </c>
      <c r="I47" s="19">
        <v>0</v>
      </c>
      <c r="J47" s="19">
        <v>0</v>
      </c>
      <c r="K47" s="19">
        <v>5</v>
      </c>
      <c r="L47" s="19">
        <v>8</v>
      </c>
      <c r="M47" s="19">
        <f t="shared" si="12"/>
        <v>13</v>
      </c>
      <c r="N47" s="35"/>
      <c r="O47" s="401"/>
      <c r="P47" s="234">
        <f t="shared" si="10"/>
        <v>34081042.450000003</v>
      </c>
      <c r="Q47" s="16"/>
    </row>
    <row r="48" spans="1:20" ht="16.5" customHeight="1" x14ac:dyDescent="0.3">
      <c r="A48" s="13"/>
      <c r="B48" s="14"/>
      <c r="C48" s="15"/>
      <c r="D48" s="26"/>
      <c r="E48" s="47" t="s">
        <v>235</v>
      </c>
      <c r="F48" s="26">
        <f>5%*D47</f>
        <v>22.976500000000001</v>
      </c>
      <c r="G48" s="26">
        <f>10%*D47</f>
        <v>45.953000000000003</v>
      </c>
      <c r="H48" s="26">
        <f>SUM(F48:G48)</f>
        <v>68.929500000000004</v>
      </c>
      <c r="I48" s="19"/>
      <c r="J48" s="19"/>
      <c r="K48" s="19"/>
      <c r="L48" s="19">
        <v>5</v>
      </c>
      <c r="M48" s="19">
        <f>SUM(I48:L48)</f>
        <v>5</v>
      </c>
      <c r="N48" s="35"/>
      <c r="O48" s="400"/>
      <c r="P48" s="234">
        <f t="shared" si="10"/>
        <v>34081042.450000003</v>
      </c>
      <c r="Q48" s="16"/>
    </row>
    <row r="49" spans="1:17" ht="18.75" customHeight="1" x14ac:dyDescent="0.3">
      <c r="A49" s="13"/>
      <c r="B49" s="14" t="s">
        <v>61</v>
      </c>
      <c r="C49" s="15" t="s">
        <v>27</v>
      </c>
      <c r="D49" s="26">
        <f>650.7+162.25</f>
        <v>812.95</v>
      </c>
      <c r="E49" s="50" t="s">
        <v>52</v>
      </c>
      <c r="F49" s="19">
        <f>8%*D49</f>
        <v>65.036000000000001</v>
      </c>
      <c r="G49" s="26">
        <f>19%*D49</f>
        <v>154.46050000000002</v>
      </c>
      <c r="H49" s="26">
        <f t="shared" si="11"/>
        <v>219.49650000000003</v>
      </c>
      <c r="I49" s="19">
        <v>0</v>
      </c>
      <c r="J49" s="19">
        <v>0</v>
      </c>
      <c r="K49" s="19">
        <v>0</v>
      </c>
      <c r="L49" s="19">
        <v>6</v>
      </c>
      <c r="M49" s="19">
        <f t="shared" si="12"/>
        <v>6</v>
      </c>
      <c r="N49" s="35"/>
      <c r="O49" s="36"/>
      <c r="P49" s="234">
        <f t="shared" si="10"/>
        <v>114555629.82500002</v>
      </c>
      <c r="Q49" s="16"/>
    </row>
    <row r="50" spans="1:17" ht="16.5" customHeight="1" x14ac:dyDescent="0.3">
      <c r="A50" s="13"/>
      <c r="B50" s="14" t="s">
        <v>62</v>
      </c>
      <c r="C50" s="15" t="s">
        <v>28</v>
      </c>
      <c r="D50" s="26">
        <f>876+634.6+5</f>
        <v>1515.6</v>
      </c>
      <c r="E50" s="50" t="s">
        <v>52</v>
      </c>
      <c r="F50" s="19">
        <f>7%*D50</f>
        <v>106.092</v>
      </c>
      <c r="G50" s="26">
        <f>10%*D50</f>
        <v>151.56</v>
      </c>
      <c r="H50" s="26">
        <f t="shared" si="11"/>
        <v>257.65199999999999</v>
      </c>
      <c r="I50" s="19">
        <v>0</v>
      </c>
      <c r="J50" s="19">
        <v>0</v>
      </c>
      <c r="K50" s="19"/>
      <c r="L50" s="19">
        <v>6</v>
      </c>
      <c r="M50" s="19">
        <f t="shared" si="12"/>
        <v>6</v>
      </c>
      <c r="N50" s="35">
        <v>2</v>
      </c>
      <c r="O50" s="399" t="s">
        <v>643</v>
      </c>
      <c r="P50" s="234">
        <f t="shared" si="10"/>
        <v>112404474</v>
      </c>
      <c r="Q50" s="16"/>
    </row>
    <row r="51" spans="1:17" ht="16.5" customHeight="1" x14ac:dyDescent="0.3">
      <c r="A51" s="13"/>
      <c r="B51" s="14" t="s">
        <v>63</v>
      </c>
      <c r="C51" s="15" t="s">
        <v>29</v>
      </c>
      <c r="D51" s="26">
        <f>1576+278.5</f>
        <v>1854.5</v>
      </c>
      <c r="E51" s="50" t="s">
        <v>52</v>
      </c>
      <c r="F51" s="19">
        <f>3%*D51</f>
        <v>55.634999999999998</v>
      </c>
      <c r="G51" s="26">
        <f>10%*D51</f>
        <v>185.45000000000002</v>
      </c>
      <c r="H51" s="26">
        <f t="shared" si="11"/>
        <v>241.08500000000001</v>
      </c>
      <c r="I51" s="19">
        <v>0</v>
      </c>
      <c r="J51" s="19">
        <v>0</v>
      </c>
      <c r="K51" s="19"/>
      <c r="L51" s="19">
        <v>7</v>
      </c>
      <c r="M51" s="19">
        <f t="shared" si="12"/>
        <v>7</v>
      </c>
      <c r="N51" s="35"/>
      <c r="O51" s="401"/>
      <c r="P51" s="234">
        <f t="shared" si="10"/>
        <v>137538992.5</v>
      </c>
      <c r="Q51" s="16"/>
    </row>
    <row r="52" spans="1:17" ht="17.25" customHeight="1" x14ac:dyDescent="0.3">
      <c r="A52" s="13"/>
      <c r="B52" s="14"/>
      <c r="C52" s="15"/>
      <c r="D52" s="26"/>
      <c r="E52" s="47" t="s">
        <v>234</v>
      </c>
      <c r="F52" s="19">
        <f>7%*D51</f>
        <v>129.81500000000003</v>
      </c>
      <c r="G52" s="26">
        <f>10%*D50</f>
        <v>151.56</v>
      </c>
      <c r="H52" s="26">
        <f>F52+G52</f>
        <v>281.375</v>
      </c>
      <c r="I52" s="19"/>
      <c r="J52" s="19">
        <v>0</v>
      </c>
      <c r="K52" s="19">
        <v>0</v>
      </c>
      <c r="L52" s="19">
        <v>5</v>
      </c>
      <c r="M52" s="19">
        <f t="shared" ref="M52" si="13">SUM(I52:L52)</f>
        <v>5</v>
      </c>
      <c r="N52" s="35"/>
      <c r="O52" s="401"/>
      <c r="P52" s="234">
        <f t="shared" si="10"/>
        <v>112404474</v>
      </c>
      <c r="Q52" s="16"/>
    </row>
    <row r="53" spans="1:17" ht="16.5" customHeight="1" x14ac:dyDescent="0.3">
      <c r="A53" s="13"/>
      <c r="B53" s="14" t="s">
        <v>64</v>
      </c>
      <c r="C53" s="15" t="s">
        <v>56</v>
      </c>
      <c r="D53" s="26">
        <f>274.6+53.7+42</f>
        <v>370.3</v>
      </c>
      <c r="E53" s="50" t="s">
        <v>52</v>
      </c>
      <c r="F53" s="19">
        <f>7%*D53</f>
        <v>25.921000000000003</v>
      </c>
      <c r="G53" s="26">
        <f>15%*D53</f>
        <v>55.545000000000002</v>
      </c>
      <c r="H53" s="26">
        <f t="shared" si="11"/>
        <v>81.466000000000008</v>
      </c>
      <c r="I53" s="19">
        <v>0</v>
      </c>
      <c r="J53" s="19"/>
      <c r="K53" s="19"/>
      <c r="L53" s="19">
        <v>0</v>
      </c>
      <c r="M53" s="19">
        <f t="shared" si="12"/>
        <v>0</v>
      </c>
      <c r="N53" s="35"/>
      <c r="O53" s="401"/>
      <c r="P53" s="234">
        <f t="shared" si="10"/>
        <v>41194949.249999993</v>
      </c>
      <c r="Q53" s="16"/>
    </row>
    <row r="54" spans="1:17" ht="18" customHeight="1" x14ac:dyDescent="0.3">
      <c r="A54" s="13"/>
      <c r="B54" s="14" t="s">
        <v>65</v>
      </c>
      <c r="C54" s="15" t="s">
        <v>30</v>
      </c>
      <c r="D54" s="26">
        <f>1500.5+566.7</f>
        <v>2067.1999999999998</v>
      </c>
      <c r="E54" s="50" t="s">
        <v>52</v>
      </c>
      <c r="F54" s="19">
        <f>5%*D54</f>
        <v>103.36</v>
      </c>
      <c r="G54" s="26">
        <f>15%*D54</f>
        <v>310.08</v>
      </c>
      <c r="H54" s="26">
        <f t="shared" si="11"/>
        <v>413.44</v>
      </c>
      <c r="I54" s="19">
        <v>0</v>
      </c>
      <c r="J54" s="19">
        <v>0</v>
      </c>
      <c r="K54" s="19">
        <v>0</v>
      </c>
      <c r="L54" s="19">
        <v>6</v>
      </c>
      <c r="M54" s="19">
        <f t="shared" si="12"/>
        <v>6</v>
      </c>
      <c r="N54" s="35"/>
      <c r="O54" s="401"/>
      <c r="P54" s="234">
        <f t="shared" si="10"/>
        <v>229970832</v>
      </c>
      <c r="Q54" s="16"/>
    </row>
    <row r="55" spans="1:17" ht="18" customHeight="1" x14ac:dyDescent="0.3">
      <c r="A55" s="13"/>
      <c r="B55" s="14"/>
      <c r="C55" s="15"/>
      <c r="D55" s="26"/>
      <c r="E55" s="47" t="s">
        <v>624</v>
      </c>
      <c r="F55" s="19">
        <f>10%*D54</f>
        <v>206.72</v>
      </c>
      <c r="G55" s="26">
        <f>10%*D54</f>
        <v>206.72</v>
      </c>
      <c r="H55" s="26">
        <f>F55+G55</f>
        <v>413.44</v>
      </c>
      <c r="I55" s="19">
        <v>0</v>
      </c>
      <c r="J55" s="19"/>
      <c r="K55" s="19"/>
      <c r="L55" s="19">
        <v>4</v>
      </c>
      <c r="M55" s="19">
        <f>SUM(I55:L55)</f>
        <v>4</v>
      </c>
      <c r="N55" s="35"/>
      <c r="O55" s="401"/>
      <c r="P55" s="234">
        <f t="shared" si="10"/>
        <v>153313888</v>
      </c>
      <c r="Q55" s="16"/>
    </row>
    <row r="56" spans="1:17" ht="18.75" customHeight="1" x14ac:dyDescent="0.3">
      <c r="A56" s="13"/>
      <c r="B56" s="14" t="s">
        <v>66</v>
      </c>
      <c r="C56" s="15" t="s">
        <v>31</v>
      </c>
      <c r="D56" s="26">
        <f>1214.5+386.5</f>
        <v>1601</v>
      </c>
      <c r="E56" s="50" t="s">
        <v>52</v>
      </c>
      <c r="F56" s="19">
        <f>6%*D56</f>
        <v>96.06</v>
      </c>
      <c r="G56" s="26">
        <f>10%*D56</f>
        <v>160.10000000000002</v>
      </c>
      <c r="H56" s="26">
        <f t="shared" si="11"/>
        <v>256.16000000000003</v>
      </c>
      <c r="I56" s="19">
        <v>0</v>
      </c>
      <c r="J56" s="19">
        <v>0</v>
      </c>
      <c r="K56" s="19">
        <v>0</v>
      </c>
      <c r="L56" s="19">
        <v>0</v>
      </c>
      <c r="M56" s="19">
        <f t="shared" si="12"/>
        <v>0</v>
      </c>
      <c r="N56" s="35"/>
      <c r="O56" s="401"/>
      <c r="P56" s="234">
        <f t="shared" si="10"/>
        <v>118738165</v>
      </c>
      <c r="Q56" s="16"/>
    </row>
    <row r="57" spans="1:17" ht="21" customHeight="1" x14ac:dyDescent="0.3">
      <c r="A57" s="13"/>
      <c r="B57" s="14" t="s">
        <v>67</v>
      </c>
      <c r="C57" s="15" t="s">
        <v>32</v>
      </c>
      <c r="D57" s="26">
        <f>998.9+79.5</f>
        <v>1078.4000000000001</v>
      </c>
      <c r="E57" s="50" t="s">
        <v>52</v>
      </c>
      <c r="F57" s="19">
        <f>8%*D57</f>
        <v>86.272000000000006</v>
      </c>
      <c r="G57" s="26">
        <f>10%*D57</f>
        <v>107.84000000000002</v>
      </c>
      <c r="H57" s="26">
        <f t="shared" si="11"/>
        <v>194.11200000000002</v>
      </c>
      <c r="I57" s="19">
        <v>0</v>
      </c>
      <c r="J57" s="19">
        <v>0</v>
      </c>
      <c r="K57" s="19">
        <v>0</v>
      </c>
      <c r="L57" s="19">
        <v>0</v>
      </c>
      <c r="M57" s="19">
        <f t="shared" si="12"/>
        <v>0</v>
      </c>
      <c r="N57" s="35"/>
      <c r="O57" s="401"/>
      <c r="P57" s="234">
        <f t="shared" si="10"/>
        <v>79979536.000000015</v>
      </c>
      <c r="Q57" s="16"/>
    </row>
    <row r="58" spans="1:17" ht="18.75" customHeight="1" x14ac:dyDescent="0.3">
      <c r="A58" s="13"/>
      <c r="B58" s="14" t="s">
        <v>68</v>
      </c>
      <c r="C58" s="15" t="s">
        <v>33</v>
      </c>
      <c r="D58" s="26">
        <f>1314+57.5</f>
        <v>1371.5</v>
      </c>
      <c r="E58" s="50" t="s">
        <v>52</v>
      </c>
      <c r="F58" s="19">
        <f>10%*D58</f>
        <v>137.15</v>
      </c>
      <c r="G58" s="26">
        <f>11%*D58</f>
        <v>150.86500000000001</v>
      </c>
      <c r="H58" s="26">
        <f t="shared" si="11"/>
        <v>288.01499999999999</v>
      </c>
      <c r="I58" s="19">
        <v>0</v>
      </c>
      <c r="J58" s="19"/>
      <c r="K58" s="19">
        <v>0</v>
      </c>
      <c r="L58" s="19">
        <v>0</v>
      </c>
      <c r="M58" s="19">
        <f t="shared" si="12"/>
        <v>0</v>
      </c>
      <c r="N58" s="35"/>
      <c r="O58" s="401"/>
      <c r="P58" s="234">
        <f t="shared" si="10"/>
        <v>111889027.25</v>
      </c>
      <c r="Q58" s="16"/>
    </row>
    <row r="59" spans="1:17" ht="19.5" customHeight="1" x14ac:dyDescent="0.3">
      <c r="A59" s="13"/>
      <c r="B59" s="14" t="s">
        <v>69</v>
      </c>
      <c r="C59" s="15" t="s">
        <v>34</v>
      </c>
      <c r="D59" s="26">
        <f>1892.1+376</f>
        <v>2268.1</v>
      </c>
      <c r="E59" s="50" t="s">
        <v>52</v>
      </c>
      <c r="F59" s="19">
        <f>4%*D59</f>
        <v>90.724000000000004</v>
      </c>
      <c r="G59" s="26">
        <f>20%*D59</f>
        <v>453.62</v>
      </c>
      <c r="H59" s="26">
        <f t="shared" si="11"/>
        <v>544.34400000000005</v>
      </c>
      <c r="I59" s="19">
        <v>0</v>
      </c>
      <c r="J59" s="19"/>
      <c r="K59" s="19"/>
      <c r="L59" s="19">
        <v>11</v>
      </c>
      <c r="M59" s="19">
        <f t="shared" si="12"/>
        <v>11</v>
      </c>
      <c r="N59" s="35"/>
      <c r="O59" s="401"/>
      <c r="P59" s="234">
        <f t="shared" si="10"/>
        <v>336427273</v>
      </c>
      <c r="Q59" s="16"/>
    </row>
    <row r="60" spans="1:17" ht="16.5" customHeight="1" x14ac:dyDescent="0.3">
      <c r="A60" s="13"/>
      <c r="B60" s="14" t="s">
        <v>70</v>
      </c>
      <c r="C60" s="15" t="s">
        <v>35</v>
      </c>
      <c r="D60" s="26">
        <f>1558+185.25</f>
        <v>1743.25</v>
      </c>
      <c r="E60" s="50" t="s">
        <v>52</v>
      </c>
      <c r="F60" s="19">
        <f>4%*D60</f>
        <v>69.73</v>
      </c>
      <c r="G60" s="26">
        <f>15%*D60</f>
        <v>261.48750000000001</v>
      </c>
      <c r="H60" s="26">
        <f t="shared" si="11"/>
        <v>331.21750000000003</v>
      </c>
      <c r="I60" s="19">
        <v>0</v>
      </c>
      <c r="J60" s="19">
        <v>0</v>
      </c>
      <c r="K60" s="19">
        <v>0</v>
      </c>
      <c r="L60" s="19">
        <v>0</v>
      </c>
      <c r="M60" s="19">
        <f t="shared" si="12"/>
        <v>0</v>
      </c>
      <c r="N60" s="35"/>
      <c r="O60" s="401"/>
      <c r="P60" s="234">
        <f t="shared" si="10"/>
        <v>193932204.375</v>
      </c>
      <c r="Q60" s="16"/>
    </row>
    <row r="61" spans="1:17" ht="17.25" customHeight="1" x14ac:dyDescent="0.3">
      <c r="A61" s="13"/>
      <c r="B61" s="14" t="s">
        <v>71</v>
      </c>
      <c r="C61" s="15" t="s">
        <v>21</v>
      </c>
      <c r="D61" s="26">
        <f>1972+130</f>
        <v>2102</v>
      </c>
      <c r="E61" s="50" t="s">
        <v>52</v>
      </c>
      <c r="F61" s="19">
        <f>4%*D61</f>
        <v>84.08</v>
      </c>
      <c r="G61" s="26">
        <f>10%*D61</f>
        <v>210.20000000000002</v>
      </c>
      <c r="H61" s="26">
        <f t="shared" si="11"/>
        <v>294.28000000000003</v>
      </c>
      <c r="I61" s="19">
        <v>0</v>
      </c>
      <c r="J61" s="19">
        <v>0</v>
      </c>
      <c r="K61" s="19">
        <v>0</v>
      </c>
      <c r="L61" s="19">
        <v>0</v>
      </c>
      <c r="M61" s="19">
        <f t="shared" si="12"/>
        <v>0</v>
      </c>
      <c r="N61" s="35"/>
      <c r="O61" s="401"/>
      <c r="P61" s="234">
        <f t="shared" si="10"/>
        <v>155894830</v>
      </c>
      <c r="Q61" s="16"/>
    </row>
    <row r="62" spans="1:17" ht="22.5" customHeight="1" x14ac:dyDescent="0.3">
      <c r="A62" s="13"/>
      <c r="B62" s="14" t="s">
        <v>72</v>
      </c>
      <c r="C62" s="15" t="s">
        <v>42</v>
      </c>
      <c r="D62" s="26">
        <f>773.1+303.8</f>
        <v>1076.9000000000001</v>
      </c>
      <c r="E62" s="50" t="s">
        <v>52</v>
      </c>
      <c r="F62" s="19">
        <f>5%*D62</f>
        <v>53.845000000000006</v>
      </c>
      <c r="G62" s="26">
        <f>15%*D62</f>
        <v>161.535</v>
      </c>
      <c r="H62" s="26">
        <f t="shared" si="11"/>
        <v>215.38</v>
      </c>
      <c r="I62" s="19">
        <v>0</v>
      </c>
      <c r="J62" s="19">
        <v>0</v>
      </c>
      <c r="K62" s="19">
        <v>0</v>
      </c>
      <c r="L62" s="19">
        <v>4</v>
      </c>
      <c r="M62" s="19">
        <f t="shared" si="12"/>
        <v>4</v>
      </c>
      <c r="N62" s="35"/>
      <c r="O62" s="400"/>
      <c r="P62" s="234">
        <f t="shared" si="10"/>
        <v>119802432.74999999</v>
      </c>
      <c r="Q62" s="16"/>
    </row>
    <row r="63" spans="1:17" ht="21" customHeight="1" x14ac:dyDescent="0.3">
      <c r="A63" s="13"/>
      <c r="B63" s="14" t="s">
        <v>73</v>
      </c>
      <c r="C63" s="15" t="s">
        <v>105</v>
      </c>
      <c r="D63" s="26">
        <f>153.8+8.7</f>
        <v>162.5</v>
      </c>
      <c r="E63" s="50" t="s">
        <v>52</v>
      </c>
      <c r="F63" s="19">
        <f>7%*D63</f>
        <v>11.375000000000002</v>
      </c>
      <c r="G63" s="26">
        <f>10%*D63</f>
        <v>16.25</v>
      </c>
      <c r="H63" s="26">
        <f t="shared" si="11"/>
        <v>27.625</v>
      </c>
      <c r="I63" s="19">
        <v>0</v>
      </c>
      <c r="J63" s="19">
        <v>0</v>
      </c>
      <c r="K63" s="19">
        <v>0</v>
      </c>
      <c r="L63" s="19">
        <v>7</v>
      </c>
      <c r="M63" s="19">
        <f t="shared" si="12"/>
        <v>7</v>
      </c>
      <c r="N63" s="35"/>
      <c r="O63" s="36"/>
      <c r="P63" s="234">
        <f t="shared" si="10"/>
        <v>12051812.499999998</v>
      </c>
      <c r="Q63" s="16"/>
    </row>
    <row r="64" spans="1:17" ht="20.25" customHeight="1" x14ac:dyDescent="0.3">
      <c r="A64" s="13"/>
      <c r="B64" s="14" t="s">
        <v>74</v>
      </c>
      <c r="C64" s="15" t="s">
        <v>110</v>
      </c>
      <c r="D64" s="26">
        <f>695+48.2</f>
        <v>743.2</v>
      </c>
      <c r="E64" s="50" t="s">
        <v>52</v>
      </c>
      <c r="F64" s="19">
        <f>10%*D64</f>
        <v>74.320000000000007</v>
      </c>
      <c r="G64" s="26">
        <f>16%*D64</f>
        <v>118.91200000000001</v>
      </c>
      <c r="H64" s="26">
        <f t="shared" si="11"/>
        <v>193.23200000000003</v>
      </c>
      <c r="I64" s="19">
        <v>0</v>
      </c>
      <c r="J64" s="19">
        <v>0</v>
      </c>
      <c r="K64" s="19">
        <v>0</v>
      </c>
      <c r="L64" s="19">
        <v>0</v>
      </c>
      <c r="M64" s="19">
        <f t="shared" si="12"/>
        <v>0</v>
      </c>
      <c r="N64" s="35">
        <v>3</v>
      </c>
      <c r="O64" s="399" t="s">
        <v>644</v>
      </c>
      <c r="P64" s="234">
        <f t="shared" si="10"/>
        <v>88191084.799999997</v>
      </c>
      <c r="Q64" s="16"/>
    </row>
    <row r="65" spans="1:19" ht="22.5" customHeight="1" x14ac:dyDescent="0.3">
      <c r="A65" s="13"/>
      <c r="B65" s="14" t="s">
        <v>75</v>
      </c>
      <c r="C65" s="15" t="s">
        <v>112</v>
      </c>
      <c r="D65" s="26">
        <f>375+14</f>
        <v>389</v>
      </c>
      <c r="E65" s="50" t="s">
        <v>52</v>
      </c>
      <c r="F65" s="19">
        <f>5%*D65</f>
        <v>19.450000000000003</v>
      </c>
      <c r="G65" s="26">
        <f>10%*D65</f>
        <v>38.900000000000006</v>
      </c>
      <c r="H65" s="26">
        <f t="shared" si="11"/>
        <v>58.350000000000009</v>
      </c>
      <c r="I65" s="19">
        <v>0</v>
      </c>
      <c r="J65" s="19">
        <v>0</v>
      </c>
      <c r="K65" s="19">
        <v>0</v>
      </c>
      <c r="L65" s="19">
        <v>0</v>
      </c>
      <c r="M65" s="19">
        <f t="shared" si="12"/>
        <v>0</v>
      </c>
      <c r="N65" s="35"/>
      <c r="O65" s="401"/>
      <c r="P65" s="234">
        <f t="shared" si="10"/>
        <v>28850185</v>
      </c>
      <c r="Q65" s="16"/>
    </row>
    <row r="66" spans="1:19" ht="18.75" customHeight="1" x14ac:dyDescent="0.3">
      <c r="A66" s="13"/>
      <c r="B66" s="14" t="s">
        <v>104</v>
      </c>
      <c r="C66" s="15" t="s">
        <v>114</v>
      </c>
      <c r="D66" s="26">
        <f>73.5</f>
        <v>73.5</v>
      </c>
      <c r="E66" s="50" t="s">
        <v>52</v>
      </c>
      <c r="F66" s="19">
        <f>9%*D66</f>
        <v>6.6149999999999993</v>
      </c>
      <c r="G66" s="26">
        <f>5%*D66</f>
        <v>3.6750000000000003</v>
      </c>
      <c r="H66" s="26">
        <f t="shared" si="11"/>
        <v>10.29</v>
      </c>
      <c r="I66" s="19">
        <v>0</v>
      </c>
      <c r="J66" s="19">
        <v>0</v>
      </c>
      <c r="K66" s="19">
        <v>0</v>
      </c>
      <c r="L66" s="19">
        <v>8</v>
      </c>
      <c r="M66" s="19">
        <f t="shared" si="12"/>
        <v>8</v>
      </c>
      <c r="N66" s="35"/>
      <c r="O66" s="401"/>
      <c r="P66" s="234">
        <f t="shared" si="10"/>
        <v>2725563.75</v>
      </c>
      <c r="Q66" s="16"/>
    </row>
    <row r="67" spans="1:19" ht="21.75" customHeight="1" x14ac:dyDescent="0.3">
      <c r="A67" s="13"/>
      <c r="B67" s="14" t="s">
        <v>106</v>
      </c>
      <c r="C67" s="15" t="s">
        <v>22</v>
      </c>
      <c r="D67" s="26">
        <f>1184.3+105</f>
        <v>1289.3</v>
      </c>
      <c r="E67" s="50" t="s">
        <v>52</v>
      </c>
      <c r="F67" s="19">
        <f>8%*D67</f>
        <v>103.14400000000001</v>
      </c>
      <c r="G67" s="26">
        <f>10%*D67</f>
        <v>128.93</v>
      </c>
      <c r="H67" s="26">
        <f t="shared" si="11"/>
        <v>232.07400000000001</v>
      </c>
      <c r="I67" s="19">
        <v>0</v>
      </c>
      <c r="J67" s="19">
        <v>0</v>
      </c>
      <c r="K67" s="19">
        <v>10</v>
      </c>
      <c r="L67" s="19">
        <v>9</v>
      </c>
      <c r="M67" s="19">
        <f t="shared" si="12"/>
        <v>19</v>
      </c>
      <c r="N67" s="35"/>
      <c r="O67" s="401"/>
      <c r="P67" s="234">
        <f t="shared" si="10"/>
        <v>95620934.5</v>
      </c>
      <c r="Q67" s="16"/>
    </row>
    <row r="68" spans="1:19" ht="21" customHeight="1" x14ac:dyDescent="0.3">
      <c r="A68" s="13"/>
      <c r="B68" s="14" t="s">
        <v>108</v>
      </c>
      <c r="C68" s="15" t="s">
        <v>180</v>
      </c>
      <c r="D68" s="26">
        <f>134.8+5</f>
        <v>139.80000000000001</v>
      </c>
      <c r="E68" s="47" t="s">
        <v>52</v>
      </c>
      <c r="F68" s="19">
        <f>5%*D68</f>
        <v>6.9900000000000011</v>
      </c>
      <c r="G68" s="26">
        <f>15%*D68</f>
        <v>20.970000000000002</v>
      </c>
      <c r="H68" s="26">
        <f t="shared" si="11"/>
        <v>27.960000000000004</v>
      </c>
      <c r="I68" s="19">
        <v>0</v>
      </c>
      <c r="J68" s="19">
        <v>0</v>
      </c>
      <c r="K68" s="19">
        <v>0</v>
      </c>
      <c r="L68" s="19">
        <v>8</v>
      </c>
      <c r="M68" s="19">
        <f t="shared" si="12"/>
        <v>8</v>
      </c>
      <c r="N68" s="35"/>
      <c r="O68" s="401"/>
      <c r="P68" s="234">
        <f t="shared" si="10"/>
        <v>15552400.5</v>
      </c>
      <c r="Q68" s="16"/>
    </row>
    <row r="69" spans="1:19" ht="21.75" customHeight="1" x14ac:dyDescent="0.3">
      <c r="A69" s="13"/>
      <c r="B69" s="14" t="s">
        <v>109</v>
      </c>
      <c r="C69" s="15" t="s">
        <v>43</v>
      </c>
      <c r="D69" s="26">
        <f>1195+218.6</f>
        <v>1413.6</v>
      </c>
      <c r="E69" s="50" t="s">
        <v>52</v>
      </c>
      <c r="F69" s="19">
        <f>6%*D69</f>
        <v>84.815999999999988</v>
      </c>
      <c r="G69" s="26">
        <f>10%*D69</f>
        <v>141.35999999999999</v>
      </c>
      <c r="H69" s="26">
        <f t="shared" si="11"/>
        <v>226.17599999999999</v>
      </c>
      <c r="I69" s="19">
        <v>0</v>
      </c>
      <c r="J69" s="19">
        <v>0</v>
      </c>
      <c r="K69" s="19">
        <v>0</v>
      </c>
      <c r="L69" s="19">
        <v>0</v>
      </c>
      <c r="M69" s="19">
        <f t="shared" si="12"/>
        <v>0</v>
      </c>
      <c r="N69" s="35"/>
      <c r="O69" s="400"/>
      <c r="P69" s="234">
        <f t="shared" si="10"/>
        <v>104839644</v>
      </c>
      <c r="Q69" s="16"/>
    </row>
    <row r="70" spans="1:19" ht="21" customHeight="1" x14ac:dyDescent="0.3">
      <c r="A70" s="13"/>
      <c r="B70" s="14" t="s">
        <v>111</v>
      </c>
      <c r="C70" s="15" t="s">
        <v>44</v>
      </c>
      <c r="D70" s="26">
        <f>1400.35+129.1</f>
        <v>1529.4499999999998</v>
      </c>
      <c r="E70" s="50" t="s">
        <v>52</v>
      </c>
      <c r="F70" s="19">
        <f>6%*D70</f>
        <v>91.766999999999982</v>
      </c>
      <c r="G70" s="26">
        <f>11%*D70</f>
        <v>168.23949999999999</v>
      </c>
      <c r="H70" s="26">
        <f t="shared" si="11"/>
        <v>260.00649999999996</v>
      </c>
      <c r="I70" s="19">
        <v>0</v>
      </c>
      <c r="J70" s="19">
        <v>0</v>
      </c>
      <c r="K70" s="19">
        <v>0</v>
      </c>
      <c r="L70" s="19">
        <v>6</v>
      </c>
      <c r="M70" s="19">
        <f t="shared" si="12"/>
        <v>6</v>
      </c>
      <c r="N70" s="35"/>
      <c r="O70" s="36"/>
      <c r="P70" s="234">
        <f t="shared" si="10"/>
        <v>124774825.17499998</v>
      </c>
      <c r="Q70" s="16"/>
    </row>
    <row r="71" spans="1:19" ht="21.75" customHeight="1" x14ac:dyDescent="0.3">
      <c r="A71" s="13"/>
      <c r="B71" s="14" t="s">
        <v>74</v>
      </c>
      <c r="C71" s="15" t="s">
        <v>43</v>
      </c>
      <c r="D71" s="26">
        <v>1189</v>
      </c>
      <c r="E71" s="50" t="s">
        <v>52</v>
      </c>
      <c r="F71" s="19">
        <f>5%*D71</f>
        <v>59.45</v>
      </c>
      <c r="G71" s="26">
        <f>8%*D71</f>
        <v>95.12</v>
      </c>
      <c r="H71" s="26">
        <f t="shared" si="11"/>
        <v>154.57</v>
      </c>
      <c r="I71" s="19">
        <v>0</v>
      </c>
      <c r="J71" s="19"/>
      <c r="K71" s="19"/>
      <c r="L71" s="19">
        <v>9</v>
      </c>
      <c r="M71" s="19">
        <f t="shared" si="12"/>
        <v>9</v>
      </c>
      <c r="N71" s="35"/>
      <c r="O71" s="36"/>
      <c r="P71" s="234">
        <f t="shared" si="10"/>
        <v>70545748.000000015</v>
      </c>
      <c r="Q71" s="16"/>
    </row>
    <row r="72" spans="1:19" ht="18.75" customHeight="1" x14ac:dyDescent="0.3">
      <c r="A72" s="89"/>
      <c r="B72" s="72" t="s">
        <v>347</v>
      </c>
      <c r="C72" s="72"/>
      <c r="D72" s="84">
        <f>SUM(D42:D71)</f>
        <v>30187.68</v>
      </c>
      <c r="E72" s="74"/>
      <c r="F72" s="83">
        <f>SUM(F49:F71)</f>
        <v>1768.367</v>
      </c>
      <c r="G72" s="83">
        <f t="shared" ref="G72:M72" si="14">SUM(G42:G71)</f>
        <v>4832.892499999999</v>
      </c>
      <c r="H72" s="83">
        <f t="shared" si="14"/>
        <v>7102.7834999999995</v>
      </c>
      <c r="I72" s="83">
        <f t="shared" si="14"/>
        <v>0</v>
      </c>
      <c r="J72" s="83">
        <f t="shared" si="14"/>
        <v>0</v>
      </c>
      <c r="K72" s="83">
        <f t="shared" si="14"/>
        <v>40</v>
      </c>
      <c r="L72" s="83">
        <f t="shared" si="14"/>
        <v>141</v>
      </c>
      <c r="M72" s="83">
        <f t="shared" si="14"/>
        <v>181</v>
      </c>
      <c r="N72" s="76"/>
      <c r="O72" s="77"/>
      <c r="P72" s="184">
        <f>SUM(P42:P71)</f>
        <v>3584314722.6250005</v>
      </c>
      <c r="Q72" s="75"/>
    </row>
    <row r="73" spans="1:19" ht="23.25" customHeight="1" x14ac:dyDescent="0.3">
      <c r="A73" s="63">
        <v>4</v>
      </c>
      <c r="B73" s="64" t="s">
        <v>46</v>
      </c>
      <c r="C73" s="65"/>
      <c r="D73" s="66"/>
      <c r="E73" s="67"/>
      <c r="F73" s="82"/>
      <c r="G73" s="82"/>
      <c r="H73" s="82"/>
      <c r="I73" s="82"/>
      <c r="J73" s="82"/>
      <c r="K73" s="82"/>
      <c r="L73" s="82"/>
      <c r="M73" s="82"/>
      <c r="N73" s="69"/>
      <c r="O73" s="70"/>
      <c r="P73" s="233"/>
      <c r="Q73" s="68"/>
    </row>
    <row r="74" spans="1:19" ht="21" customHeight="1" x14ac:dyDescent="0.3">
      <c r="A74" s="102"/>
      <c r="B74" s="98" t="s">
        <v>57</v>
      </c>
      <c r="C74" s="99" t="s">
        <v>29</v>
      </c>
      <c r="D74" s="96">
        <v>175</v>
      </c>
      <c r="E74" s="101" t="s">
        <v>645</v>
      </c>
      <c r="F74" s="96">
        <f>2%*D74</f>
        <v>3.5</v>
      </c>
      <c r="G74" s="96">
        <f>5%*D74</f>
        <v>8.75</v>
      </c>
      <c r="H74" s="96">
        <f>SUM(F74:G74)</f>
        <v>12.25</v>
      </c>
      <c r="I74" s="97">
        <v>0</v>
      </c>
      <c r="J74" s="97"/>
      <c r="K74" s="97"/>
      <c r="L74" s="97">
        <v>4</v>
      </c>
      <c r="M74" s="97">
        <f t="shared" ref="M74:M83" si="15">SUM(I74:L74)</f>
        <v>4</v>
      </c>
      <c r="N74" s="35" t="s">
        <v>51</v>
      </c>
      <c r="O74" s="36" t="s">
        <v>229</v>
      </c>
      <c r="P74" s="234">
        <f>G74*1.036*20%*8000000</f>
        <v>14504000</v>
      </c>
      <c r="Q74" s="16"/>
    </row>
    <row r="75" spans="1:19" ht="20.25" customHeight="1" x14ac:dyDescent="0.3">
      <c r="A75" s="13"/>
      <c r="B75" s="14" t="s">
        <v>58</v>
      </c>
      <c r="C75" s="15" t="s">
        <v>33</v>
      </c>
      <c r="D75" s="26">
        <v>368</v>
      </c>
      <c r="E75" s="47" t="s">
        <v>185</v>
      </c>
      <c r="F75" s="26">
        <f>3%*D75</f>
        <v>11.04</v>
      </c>
      <c r="G75" s="26">
        <f>4%*D75</f>
        <v>14.72</v>
      </c>
      <c r="H75" s="26">
        <f t="shared" ref="H75:H83" si="16">SUM(F75:G75)</f>
        <v>25.759999999999998</v>
      </c>
      <c r="I75" s="19">
        <v>0</v>
      </c>
      <c r="J75" s="19"/>
      <c r="K75" s="19">
        <v>0</v>
      </c>
      <c r="L75" s="19">
        <v>6</v>
      </c>
      <c r="M75" s="19">
        <f t="shared" si="15"/>
        <v>6</v>
      </c>
      <c r="N75" s="35" t="s">
        <v>51</v>
      </c>
      <c r="O75" s="36" t="s">
        <v>138</v>
      </c>
      <c r="P75" s="234">
        <f>G75*1.036*20%*8000000</f>
        <v>24399872.000000004</v>
      </c>
      <c r="Q75" s="16"/>
    </row>
    <row r="76" spans="1:19" ht="28.5" customHeight="1" x14ac:dyDescent="0.3">
      <c r="A76" s="13"/>
      <c r="B76" s="98" t="s">
        <v>59</v>
      </c>
      <c r="C76" s="99" t="s">
        <v>42</v>
      </c>
      <c r="D76" s="96">
        <v>774.98</v>
      </c>
      <c r="E76" s="101" t="s">
        <v>645</v>
      </c>
      <c r="F76" s="96">
        <f>2%*D76</f>
        <v>15.499600000000001</v>
      </c>
      <c r="G76" s="97">
        <f>7%*D76</f>
        <v>54.248600000000003</v>
      </c>
      <c r="H76" s="96">
        <f t="shared" si="16"/>
        <v>69.748199999999997</v>
      </c>
      <c r="I76" s="97">
        <v>0</v>
      </c>
      <c r="J76" s="97"/>
      <c r="K76" s="97">
        <v>5</v>
      </c>
      <c r="L76" s="97">
        <v>4</v>
      </c>
      <c r="M76" s="97">
        <f t="shared" si="15"/>
        <v>9</v>
      </c>
      <c r="N76" s="35"/>
      <c r="O76" s="36"/>
      <c r="P76" s="234">
        <f>G76*1.036*20%*8000000</f>
        <v>89922479.360000014</v>
      </c>
      <c r="Q76" s="16"/>
    </row>
    <row r="77" spans="1:19" ht="24" customHeight="1" x14ac:dyDescent="0.3">
      <c r="A77" s="13"/>
      <c r="B77" s="98" t="s">
        <v>60</v>
      </c>
      <c r="C77" s="99" t="s">
        <v>21</v>
      </c>
      <c r="D77" s="96">
        <v>949.55</v>
      </c>
      <c r="E77" s="101" t="s">
        <v>645</v>
      </c>
      <c r="F77" s="96">
        <f>2%*D77</f>
        <v>18.991</v>
      </c>
      <c r="G77" s="97">
        <f>5%*D77</f>
        <v>47.477499999999999</v>
      </c>
      <c r="H77" s="96">
        <f t="shared" si="16"/>
        <v>66.468500000000006</v>
      </c>
      <c r="I77" s="97">
        <v>0</v>
      </c>
      <c r="J77" s="97"/>
      <c r="K77" s="97">
        <v>0</v>
      </c>
      <c r="L77" s="97">
        <v>8</v>
      </c>
      <c r="M77" s="97">
        <f t="shared" si="15"/>
        <v>8</v>
      </c>
      <c r="N77" s="35"/>
      <c r="O77" s="36"/>
      <c r="P77" s="234">
        <f t="shared" ref="P77:P80" si="17">G77*1.036*20%*8500000</f>
        <v>83617373</v>
      </c>
      <c r="Q77" s="16"/>
      <c r="S77" s="1" t="s">
        <v>641</v>
      </c>
    </row>
    <row r="78" spans="1:19" ht="25.5" customHeight="1" x14ac:dyDescent="0.3">
      <c r="A78" s="13"/>
      <c r="B78" s="98"/>
      <c r="C78" s="99"/>
      <c r="D78" s="96"/>
      <c r="E78" s="47" t="s">
        <v>185</v>
      </c>
      <c r="F78" s="96">
        <f>5%*D77</f>
        <v>47.477499999999999</v>
      </c>
      <c r="G78" s="96">
        <f>4%*D77</f>
        <v>37.981999999999999</v>
      </c>
      <c r="H78" s="96">
        <f>SUM(F78:G78)</f>
        <v>85.459499999999991</v>
      </c>
      <c r="I78" s="19">
        <v>0</v>
      </c>
      <c r="J78" s="19">
        <v>0</v>
      </c>
      <c r="K78" s="19">
        <v>0</v>
      </c>
      <c r="L78" s="19">
        <v>5</v>
      </c>
      <c r="M78" s="19">
        <f t="shared" si="15"/>
        <v>5</v>
      </c>
      <c r="N78" s="35"/>
      <c r="O78" s="36"/>
      <c r="P78" s="234">
        <f t="shared" si="17"/>
        <v>66893898.400000006</v>
      </c>
      <c r="Q78" s="16"/>
    </row>
    <row r="79" spans="1:19" ht="27" customHeight="1" x14ac:dyDescent="0.3">
      <c r="A79" s="16"/>
      <c r="B79" s="14" t="s">
        <v>61</v>
      </c>
      <c r="C79" s="15" t="s">
        <v>22</v>
      </c>
      <c r="D79" s="26">
        <v>1223.55</v>
      </c>
      <c r="E79" s="101" t="s">
        <v>645</v>
      </c>
      <c r="F79" s="26">
        <f>4%*D79</f>
        <v>48.942</v>
      </c>
      <c r="G79" s="19">
        <f>5%*D79</f>
        <v>61.177500000000002</v>
      </c>
      <c r="H79" s="26">
        <f t="shared" si="16"/>
        <v>110.1195</v>
      </c>
      <c r="I79" s="19">
        <v>0</v>
      </c>
      <c r="J79" s="19"/>
      <c r="K79" s="19">
        <v>5</v>
      </c>
      <c r="L79" s="19">
        <v>4</v>
      </c>
      <c r="M79" s="19">
        <f t="shared" si="15"/>
        <v>9</v>
      </c>
      <c r="N79" s="35"/>
      <c r="O79" s="36"/>
      <c r="P79" s="234">
        <f t="shared" si="17"/>
        <v>107745813</v>
      </c>
      <c r="Q79" s="16"/>
    </row>
    <row r="80" spans="1:19" ht="22.5" customHeight="1" x14ac:dyDescent="0.3">
      <c r="A80" s="87"/>
      <c r="B80" s="55"/>
      <c r="C80" s="56"/>
      <c r="D80" s="57"/>
      <c r="E80" s="47" t="s">
        <v>185</v>
      </c>
      <c r="F80" s="26">
        <f>3%*D79</f>
        <v>36.706499999999998</v>
      </c>
      <c r="G80" s="19">
        <f>D79*5%</f>
        <v>61.177500000000002</v>
      </c>
      <c r="H80" s="26">
        <f>F80+G80</f>
        <v>97.884</v>
      </c>
      <c r="I80" s="19"/>
      <c r="J80" s="19"/>
      <c r="K80" s="19"/>
      <c r="L80" s="19"/>
      <c r="M80" s="19"/>
      <c r="N80" s="35"/>
      <c r="O80" s="36"/>
      <c r="P80" s="234">
        <f t="shared" si="17"/>
        <v>107745813</v>
      </c>
      <c r="Q80" s="16"/>
    </row>
    <row r="81" spans="1:20" ht="24.75" customHeight="1" x14ac:dyDescent="0.3">
      <c r="A81" s="87"/>
      <c r="B81" s="55" t="s">
        <v>62</v>
      </c>
      <c r="C81" s="56" t="s">
        <v>43</v>
      </c>
      <c r="D81" s="57">
        <v>133</v>
      </c>
      <c r="E81" s="101" t="s">
        <v>645</v>
      </c>
      <c r="F81" s="19">
        <f>4%*D81</f>
        <v>5.32</v>
      </c>
      <c r="G81" s="135">
        <f>2%*D81</f>
        <v>2.66</v>
      </c>
      <c r="H81" s="26">
        <f t="shared" si="16"/>
        <v>7.98</v>
      </c>
      <c r="I81" s="19">
        <v>0</v>
      </c>
      <c r="J81" s="19"/>
      <c r="K81" s="19">
        <v>0</v>
      </c>
      <c r="L81" s="19">
        <v>3</v>
      </c>
      <c r="M81" s="19">
        <f t="shared" si="15"/>
        <v>3</v>
      </c>
      <c r="N81" s="35"/>
      <c r="O81" s="36"/>
      <c r="P81" s="234">
        <f>G81*1.036*20%*8000000</f>
        <v>4409216.0000000009</v>
      </c>
      <c r="Q81" s="16"/>
    </row>
    <row r="82" spans="1:20" ht="32.25" customHeight="1" x14ac:dyDescent="0.3">
      <c r="A82" s="87"/>
      <c r="B82" s="14" t="s">
        <v>63</v>
      </c>
      <c r="C82" s="15" t="s">
        <v>44</v>
      </c>
      <c r="D82" s="26">
        <v>324.64999999999998</v>
      </c>
      <c r="E82" s="101" t="s">
        <v>645</v>
      </c>
      <c r="F82" s="135">
        <f>4%*D82</f>
        <v>12.985999999999999</v>
      </c>
      <c r="G82" s="19">
        <f>4%*D82</f>
        <v>12.985999999999999</v>
      </c>
      <c r="H82" s="26">
        <f t="shared" si="16"/>
        <v>25.971999999999998</v>
      </c>
      <c r="I82" s="135">
        <v>0</v>
      </c>
      <c r="J82" s="135"/>
      <c r="K82" s="135">
        <v>0</v>
      </c>
      <c r="L82" s="135">
        <v>3</v>
      </c>
      <c r="M82" s="135">
        <f t="shared" ref="M82" si="18">SUM(I82:L82)</f>
        <v>3</v>
      </c>
      <c r="N82" s="80"/>
      <c r="O82" s="81"/>
      <c r="P82" s="234">
        <f>G82*1.036*20%*8000000</f>
        <v>21525593.600000001</v>
      </c>
      <c r="Q82" s="87"/>
    </row>
    <row r="83" spans="1:20" ht="21" customHeight="1" x14ac:dyDescent="0.3">
      <c r="A83" s="16"/>
      <c r="B83" s="14" t="s">
        <v>63</v>
      </c>
      <c r="C83" s="15" t="s">
        <v>32</v>
      </c>
      <c r="D83" s="26">
        <v>248.5</v>
      </c>
      <c r="E83" s="101" t="s">
        <v>645</v>
      </c>
      <c r="F83" s="135">
        <f>3%*D83</f>
        <v>7.4550000000000001</v>
      </c>
      <c r="G83" s="19">
        <f>4%*D83</f>
        <v>9.94</v>
      </c>
      <c r="H83" s="26">
        <f t="shared" si="16"/>
        <v>17.395</v>
      </c>
      <c r="I83" s="135">
        <v>0</v>
      </c>
      <c r="J83" s="135"/>
      <c r="K83" s="135">
        <v>0</v>
      </c>
      <c r="L83" s="135">
        <v>5</v>
      </c>
      <c r="M83" s="135">
        <f t="shared" si="15"/>
        <v>5</v>
      </c>
      <c r="N83" s="80"/>
      <c r="O83" s="81"/>
      <c r="P83" s="234">
        <f>G83*1.036*20%*8000000</f>
        <v>16476544</v>
      </c>
      <c r="Q83" s="87"/>
    </row>
    <row r="84" spans="1:20" ht="21.75" customHeight="1" x14ac:dyDescent="0.3">
      <c r="A84" s="75"/>
      <c r="B84" s="72" t="s">
        <v>348</v>
      </c>
      <c r="C84" s="72"/>
      <c r="D84" s="73">
        <f>SUM(D74:D83)</f>
        <v>4197.2299999999996</v>
      </c>
      <c r="E84" s="74"/>
      <c r="F84" s="73">
        <f t="shared" ref="F84:K84" si="19">SUM(F74:F83)</f>
        <v>207.91759999999999</v>
      </c>
      <c r="G84" s="83">
        <f t="shared" si="19"/>
        <v>311.1191</v>
      </c>
      <c r="H84" s="73">
        <f t="shared" si="19"/>
        <v>519.0367</v>
      </c>
      <c r="I84" s="83">
        <f t="shared" si="19"/>
        <v>0</v>
      </c>
      <c r="J84" s="83">
        <f t="shared" si="19"/>
        <v>0</v>
      </c>
      <c r="K84" s="83">
        <f t="shared" si="19"/>
        <v>10</v>
      </c>
      <c r="L84" s="83">
        <f>SUM(L73:L83)</f>
        <v>42</v>
      </c>
      <c r="M84" s="83">
        <f>SUM(M74:M83)</f>
        <v>52</v>
      </c>
      <c r="N84" s="76"/>
      <c r="O84" s="77"/>
      <c r="P84" s="184">
        <f>SUM(P74:P83)</f>
        <v>537240602.36000001</v>
      </c>
      <c r="Q84" s="75"/>
    </row>
    <row r="85" spans="1:20" ht="18.75" customHeight="1" x14ac:dyDescent="0.3">
      <c r="A85" s="63">
        <v>5</v>
      </c>
      <c r="B85" s="64" t="s">
        <v>96</v>
      </c>
      <c r="C85" s="65"/>
      <c r="D85" s="66"/>
      <c r="E85" s="67"/>
      <c r="F85" s="66"/>
      <c r="G85" s="66"/>
      <c r="H85" s="66"/>
      <c r="I85" s="82"/>
      <c r="J85" s="82"/>
      <c r="K85" s="82"/>
      <c r="L85" s="82"/>
      <c r="M85" s="82"/>
      <c r="N85" s="69"/>
      <c r="O85" s="70"/>
      <c r="P85" s="233"/>
      <c r="Q85" s="68"/>
    </row>
    <row r="86" spans="1:20" ht="27" customHeight="1" x14ac:dyDescent="0.3">
      <c r="A86" s="16"/>
      <c r="B86" s="14" t="s">
        <v>57</v>
      </c>
      <c r="C86" s="15" t="s">
        <v>22</v>
      </c>
      <c r="D86" s="26">
        <v>13.6</v>
      </c>
      <c r="E86" s="49" t="s">
        <v>187</v>
      </c>
      <c r="F86" s="26">
        <f>40%*D86</f>
        <v>5.44</v>
      </c>
      <c r="G86" s="26">
        <f>3%*D86</f>
        <v>0.40799999999999997</v>
      </c>
      <c r="H86" s="26">
        <f t="shared" ref="H86:H94" si="20">SUM(F86:G86)</f>
        <v>5.8480000000000008</v>
      </c>
      <c r="I86" s="19">
        <v>0</v>
      </c>
      <c r="J86" s="19"/>
      <c r="K86" s="19">
        <v>3</v>
      </c>
      <c r="L86" s="19">
        <v>2</v>
      </c>
      <c r="M86" s="19">
        <f>SUM(I86:L86)</f>
        <v>5</v>
      </c>
      <c r="N86" s="35"/>
      <c r="O86" s="36"/>
      <c r="P86" s="161">
        <f t="shared" ref="P86:P94" si="21">G86*0.486*30%*40000000</f>
        <v>2379456</v>
      </c>
      <c r="Q86" s="16"/>
    </row>
    <row r="87" spans="1:20" ht="27.75" customHeight="1" x14ac:dyDescent="0.3">
      <c r="A87" s="16"/>
      <c r="B87" s="14" t="s">
        <v>58</v>
      </c>
      <c r="C87" s="15" t="s">
        <v>21</v>
      </c>
      <c r="D87" s="26">
        <v>24.61</v>
      </c>
      <c r="E87" s="49" t="s">
        <v>187</v>
      </c>
      <c r="F87" s="26">
        <f>10%*D87</f>
        <v>2.4610000000000003</v>
      </c>
      <c r="G87" s="26">
        <f>8%*D87</f>
        <v>1.9688000000000001</v>
      </c>
      <c r="H87" s="26">
        <f t="shared" si="20"/>
        <v>4.4298000000000002</v>
      </c>
      <c r="I87" s="19">
        <v>0</v>
      </c>
      <c r="J87" s="19"/>
      <c r="K87" s="19">
        <v>2</v>
      </c>
      <c r="L87" s="19">
        <v>1</v>
      </c>
      <c r="M87" s="19">
        <f t="shared" ref="M87:M94" si="22">SUM(I87:L87)</f>
        <v>3</v>
      </c>
      <c r="N87" s="35"/>
      <c r="O87" s="40" t="s">
        <v>50</v>
      </c>
      <c r="P87" s="161">
        <f t="shared" si="21"/>
        <v>11482041.6</v>
      </c>
      <c r="Q87" s="16"/>
      <c r="S87" s="1" t="s">
        <v>636</v>
      </c>
      <c r="T87" s="1" t="s">
        <v>637</v>
      </c>
    </row>
    <row r="88" spans="1:20" ht="25.5" customHeight="1" x14ac:dyDescent="0.3">
      <c r="A88" s="16"/>
      <c r="B88" s="14"/>
      <c r="C88" s="15"/>
      <c r="D88" s="26"/>
      <c r="E88" s="49" t="s">
        <v>631</v>
      </c>
      <c r="F88" s="96">
        <f>5%*D87</f>
        <v>1.2305000000000001</v>
      </c>
      <c r="G88" s="96">
        <f>8%*D87</f>
        <v>1.9688000000000001</v>
      </c>
      <c r="H88" s="96">
        <f t="shared" si="20"/>
        <v>3.1993</v>
      </c>
      <c r="I88" s="97">
        <v>0</v>
      </c>
      <c r="J88" s="97">
        <v>0</v>
      </c>
      <c r="K88" s="97">
        <v>0</v>
      </c>
      <c r="L88" s="97">
        <v>2</v>
      </c>
      <c r="M88" s="97">
        <f t="shared" si="22"/>
        <v>2</v>
      </c>
      <c r="N88" s="35"/>
      <c r="O88" s="36"/>
      <c r="P88" s="161">
        <f t="shared" si="21"/>
        <v>11482041.6</v>
      </c>
      <c r="Q88" s="16"/>
      <c r="T88" s="1" t="s">
        <v>638</v>
      </c>
    </row>
    <row r="89" spans="1:20" ht="27.75" customHeight="1" x14ac:dyDescent="0.3">
      <c r="A89" s="16"/>
      <c r="B89" s="14" t="s">
        <v>59</v>
      </c>
      <c r="C89" s="15" t="s">
        <v>43</v>
      </c>
      <c r="D89" s="26">
        <v>22.64</v>
      </c>
      <c r="E89" s="49" t="s">
        <v>187</v>
      </c>
      <c r="F89" s="96">
        <f>10%*D89</f>
        <v>2.2640000000000002</v>
      </c>
      <c r="G89" s="26">
        <f>6%*D89</f>
        <v>1.3584000000000001</v>
      </c>
      <c r="H89" s="26">
        <f t="shared" si="20"/>
        <v>3.6224000000000003</v>
      </c>
      <c r="I89" s="19">
        <v>0</v>
      </c>
      <c r="J89" s="19"/>
      <c r="K89" s="19"/>
      <c r="L89" s="19">
        <v>2</v>
      </c>
      <c r="M89" s="19">
        <f t="shared" si="22"/>
        <v>2</v>
      </c>
      <c r="N89" s="35"/>
      <c r="O89" s="40" t="s">
        <v>137</v>
      </c>
      <c r="P89" s="161">
        <f t="shared" si="21"/>
        <v>7922188.8000000007</v>
      </c>
      <c r="Q89" s="16"/>
    </row>
    <row r="90" spans="1:20" ht="30" customHeight="1" x14ac:dyDescent="0.3">
      <c r="A90" s="16"/>
      <c r="B90" s="14" t="s">
        <v>60</v>
      </c>
      <c r="C90" s="15" t="s">
        <v>44</v>
      </c>
      <c r="D90" s="26">
        <v>33</v>
      </c>
      <c r="E90" s="49" t="s">
        <v>187</v>
      </c>
      <c r="F90" s="26">
        <f>9%*D90</f>
        <v>2.9699999999999998</v>
      </c>
      <c r="G90" s="26">
        <f>8%*D90</f>
        <v>2.64</v>
      </c>
      <c r="H90" s="26">
        <f t="shared" si="20"/>
        <v>5.6099999999999994</v>
      </c>
      <c r="I90" s="19">
        <v>0</v>
      </c>
      <c r="J90" s="19">
        <v>0</v>
      </c>
      <c r="K90" s="19">
        <v>0</v>
      </c>
      <c r="L90" s="19">
        <v>3</v>
      </c>
      <c r="M90" s="19">
        <f t="shared" si="22"/>
        <v>3</v>
      </c>
      <c r="N90" s="35"/>
      <c r="O90" s="36" t="s">
        <v>145</v>
      </c>
      <c r="P90" s="161">
        <f t="shared" si="21"/>
        <v>15396479.999999998</v>
      </c>
      <c r="Q90" s="16"/>
    </row>
    <row r="91" spans="1:20" ht="30.75" customHeight="1" x14ac:dyDescent="0.3">
      <c r="A91" s="16"/>
      <c r="B91" s="14" t="s">
        <v>61</v>
      </c>
      <c r="C91" s="15" t="s">
        <v>33</v>
      </c>
      <c r="D91" s="26">
        <v>8.3000000000000007</v>
      </c>
      <c r="E91" s="49" t="s">
        <v>187</v>
      </c>
      <c r="F91" s="26">
        <f>10%*D91</f>
        <v>0.83000000000000007</v>
      </c>
      <c r="G91" s="26">
        <f>8%*D91</f>
        <v>0.66400000000000003</v>
      </c>
      <c r="H91" s="26">
        <f t="shared" si="20"/>
        <v>1.4940000000000002</v>
      </c>
      <c r="I91" s="19">
        <v>0</v>
      </c>
      <c r="J91" s="19">
        <v>0</v>
      </c>
      <c r="K91" s="19">
        <v>0</v>
      </c>
      <c r="L91" s="19">
        <v>2</v>
      </c>
      <c r="M91" s="19">
        <f t="shared" si="22"/>
        <v>2</v>
      </c>
      <c r="N91" s="35"/>
      <c r="O91" s="40" t="s">
        <v>626</v>
      </c>
      <c r="P91" s="161">
        <f t="shared" si="21"/>
        <v>3872448</v>
      </c>
      <c r="Q91" s="16"/>
    </row>
    <row r="92" spans="1:20" ht="29.25" customHeight="1" x14ac:dyDescent="0.3">
      <c r="A92" s="16"/>
      <c r="B92" s="14" t="s">
        <v>62</v>
      </c>
      <c r="C92" s="15" t="s">
        <v>655</v>
      </c>
      <c r="D92" s="26">
        <v>5</v>
      </c>
      <c r="E92" s="49" t="s">
        <v>187</v>
      </c>
      <c r="F92" s="26">
        <f>8%*D92</f>
        <v>0.4</v>
      </c>
      <c r="G92" s="26">
        <f>6%*D92</f>
        <v>0.3</v>
      </c>
      <c r="H92" s="26">
        <f t="shared" si="20"/>
        <v>0.7</v>
      </c>
      <c r="I92" s="19">
        <v>0</v>
      </c>
      <c r="J92" s="19">
        <v>0</v>
      </c>
      <c r="K92" s="19">
        <v>0</v>
      </c>
      <c r="L92" s="19"/>
      <c r="M92" s="19">
        <f t="shared" si="22"/>
        <v>0</v>
      </c>
      <c r="N92" s="35"/>
      <c r="O92" s="36"/>
      <c r="P92" s="161">
        <f t="shared" si="21"/>
        <v>1749599.9999999998</v>
      </c>
      <c r="Q92" s="16"/>
    </row>
    <row r="93" spans="1:20" ht="25.5" customHeight="1" x14ac:dyDescent="0.3">
      <c r="A93" s="16"/>
      <c r="B93" s="14">
        <v>9</v>
      </c>
      <c r="C93" s="15" t="s">
        <v>30</v>
      </c>
      <c r="D93" s="26">
        <v>11.5</v>
      </c>
      <c r="E93" s="49" t="s">
        <v>187</v>
      </c>
      <c r="F93" s="26">
        <f>10%*D93</f>
        <v>1.1500000000000001</v>
      </c>
      <c r="G93" s="26">
        <f>9%*D93</f>
        <v>1.0349999999999999</v>
      </c>
      <c r="H93" s="26">
        <f t="shared" si="20"/>
        <v>2.1850000000000001</v>
      </c>
      <c r="I93" s="19">
        <v>0</v>
      </c>
      <c r="J93" s="19">
        <v>0</v>
      </c>
      <c r="K93" s="19"/>
      <c r="L93" s="19">
        <v>2</v>
      </c>
      <c r="M93" s="19">
        <f t="shared" si="22"/>
        <v>2</v>
      </c>
      <c r="N93" s="35"/>
      <c r="O93" s="36"/>
      <c r="P93" s="161">
        <f t="shared" si="21"/>
        <v>6036119.9999999991</v>
      </c>
      <c r="Q93" s="16"/>
    </row>
    <row r="94" spans="1:20" ht="23.25" customHeight="1" x14ac:dyDescent="0.3">
      <c r="A94" s="108"/>
      <c r="B94" s="117" t="s">
        <v>64</v>
      </c>
      <c r="C94" s="116" t="s">
        <v>31</v>
      </c>
      <c r="D94" s="109">
        <v>6</v>
      </c>
      <c r="E94" s="261" t="s">
        <v>187</v>
      </c>
      <c r="F94" s="109">
        <f>10%*D94</f>
        <v>0.60000000000000009</v>
      </c>
      <c r="G94" s="109">
        <f>10%*D94</f>
        <v>0.60000000000000009</v>
      </c>
      <c r="H94" s="109">
        <f t="shared" si="20"/>
        <v>1.2000000000000002</v>
      </c>
      <c r="I94" s="111">
        <v>0</v>
      </c>
      <c r="J94" s="111">
        <v>0</v>
      </c>
      <c r="K94" s="111">
        <v>0</v>
      </c>
      <c r="L94" s="111">
        <v>1</v>
      </c>
      <c r="M94" s="111">
        <f t="shared" si="22"/>
        <v>1</v>
      </c>
      <c r="N94" s="115"/>
      <c r="O94" s="113"/>
      <c r="P94" s="262">
        <f t="shared" si="21"/>
        <v>3499200</v>
      </c>
      <c r="Q94" s="108"/>
    </row>
    <row r="95" spans="1:20" ht="21" customHeight="1" x14ac:dyDescent="0.3">
      <c r="A95" s="75"/>
      <c r="B95" s="72" t="s">
        <v>349</v>
      </c>
      <c r="C95" s="72"/>
      <c r="D95" s="73">
        <f>SUM(D86:D94)</f>
        <v>124.64999999999999</v>
      </c>
      <c r="E95" s="74"/>
      <c r="F95" s="73">
        <f t="shared" ref="F95:K95" si="23">SUM(F86:F94)</f>
        <v>17.345500000000001</v>
      </c>
      <c r="G95" s="73">
        <f t="shared" si="23"/>
        <v>10.943000000000001</v>
      </c>
      <c r="H95" s="73">
        <f t="shared" si="23"/>
        <v>28.288499999999996</v>
      </c>
      <c r="I95" s="83">
        <f t="shared" si="23"/>
        <v>0</v>
      </c>
      <c r="J95" s="83">
        <f t="shared" si="23"/>
        <v>0</v>
      </c>
      <c r="K95" s="83">
        <f t="shared" si="23"/>
        <v>5</v>
      </c>
      <c r="L95" s="83">
        <f>SUM(L85:L94)</f>
        <v>15</v>
      </c>
      <c r="M95" s="83">
        <f>SUM(M86:M94)</f>
        <v>20</v>
      </c>
      <c r="N95" s="76"/>
      <c r="O95" s="77"/>
      <c r="P95" s="184">
        <f>SUM(P86:P94)</f>
        <v>63819576</v>
      </c>
      <c r="Q95" s="75"/>
    </row>
    <row r="96" spans="1:20" ht="0.75" customHeight="1" x14ac:dyDescent="0.3">
      <c r="D96" s="273"/>
      <c r="E96" s="41"/>
      <c r="F96" s="273"/>
      <c r="G96" s="273"/>
      <c r="H96" s="273"/>
      <c r="I96" s="274"/>
      <c r="J96" s="274"/>
      <c r="K96" s="274"/>
      <c r="L96" s="274"/>
      <c r="M96" s="274"/>
      <c r="N96" s="41"/>
      <c r="O96" s="41"/>
      <c r="P96" s="275"/>
    </row>
    <row r="97" spans="1:20" ht="19.5" customHeight="1" x14ac:dyDescent="0.3">
      <c r="A97" s="63">
        <v>6</v>
      </c>
      <c r="B97" s="68" t="s">
        <v>116</v>
      </c>
      <c r="C97" s="68"/>
      <c r="D97" s="66"/>
      <c r="E97" s="67"/>
      <c r="F97" s="66"/>
      <c r="G97" s="82"/>
      <c r="H97" s="66"/>
      <c r="I97" s="82"/>
      <c r="J97" s="82"/>
      <c r="K97" s="82"/>
      <c r="L97" s="82"/>
      <c r="M97" s="82"/>
      <c r="N97" s="69"/>
      <c r="O97" s="70"/>
      <c r="P97" s="233"/>
      <c r="Q97" s="68"/>
      <c r="S97" s="1" t="s">
        <v>596</v>
      </c>
    </row>
    <row r="98" spans="1:20" ht="27.75" customHeight="1" x14ac:dyDescent="0.3">
      <c r="A98" s="27"/>
      <c r="B98" s="152" t="s">
        <v>57</v>
      </c>
      <c r="C98" s="99" t="s">
        <v>30</v>
      </c>
      <c r="D98" s="154">
        <v>54.84</v>
      </c>
      <c r="E98" s="101" t="s">
        <v>607</v>
      </c>
      <c r="F98" s="154">
        <f>4%*D98</f>
        <v>2.1936</v>
      </c>
      <c r="G98" s="155">
        <f>7%*D98</f>
        <v>3.8388000000000004</v>
      </c>
      <c r="H98" s="154">
        <f t="shared" ref="H98:H106" si="24">SUM(F98:G98)</f>
        <v>6.0324000000000009</v>
      </c>
      <c r="I98" s="155">
        <v>0</v>
      </c>
      <c r="J98" s="155"/>
      <c r="K98" s="155"/>
      <c r="L98" s="155">
        <v>3</v>
      </c>
      <c r="M98" s="155">
        <f>SUM(I98:L98)</f>
        <v>3</v>
      </c>
      <c r="N98" s="156" t="s">
        <v>86</v>
      </c>
      <c r="O98" s="36" t="s">
        <v>211</v>
      </c>
      <c r="P98" s="236">
        <f t="shared" ref="P98:P106" si="25">G98*0.347*30*21000000</f>
        <v>839200068</v>
      </c>
      <c r="Q98" s="27"/>
      <c r="S98" s="1" t="s">
        <v>597</v>
      </c>
      <c r="T98" s="1" t="s">
        <v>598</v>
      </c>
    </row>
    <row r="99" spans="1:20" ht="24" customHeight="1" x14ac:dyDescent="0.3">
      <c r="A99" s="27"/>
      <c r="B99" s="152"/>
      <c r="C99" s="153"/>
      <c r="D99" s="154"/>
      <c r="E99" s="101" t="s">
        <v>625</v>
      </c>
      <c r="F99" s="154">
        <f>7%*D98</f>
        <v>3.8388000000000004</v>
      </c>
      <c r="G99" s="155">
        <f>2%*D98</f>
        <v>1.0968</v>
      </c>
      <c r="H99" s="154">
        <f t="shared" ref="H99:H100" si="26">SUM(F99:G99)</f>
        <v>4.9356000000000009</v>
      </c>
      <c r="I99" s="155">
        <v>0</v>
      </c>
      <c r="J99" s="155"/>
      <c r="K99" s="155"/>
      <c r="L99" s="155">
        <v>1</v>
      </c>
      <c r="M99" s="155">
        <f>SUM(I99:L99)</f>
        <v>1</v>
      </c>
      <c r="N99" s="156"/>
      <c r="O99" s="40"/>
      <c r="P99" s="236">
        <f t="shared" si="25"/>
        <v>239771447.99999997</v>
      </c>
      <c r="Q99" s="27"/>
    </row>
    <row r="100" spans="1:20" ht="21" customHeight="1" x14ac:dyDescent="0.3">
      <c r="A100" s="27"/>
      <c r="B100" s="152"/>
      <c r="C100" s="153"/>
      <c r="D100" s="154"/>
      <c r="E100" s="248" t="s">
        <v>671</v>
      </c>
      <c r="F100" s="154">
        <f>4%*D98</f>
        <v>2.1936</v>
      </c>
      <c r="G100" s="155">
        <f>2%*D98</f>
        <v>1.0968</v>
      </c>
      <c r="H100" s="154">
        <f t="shared" si="26"/>
        <v>3.2904</v>
      </c>
      <c r="I100" s="155"/>
      <c r="J100" s="155"/>
      <c r="K100" s="155"/>
      <c r="L100" s="155">
        <v>2</v>
      </c>
      <c r="M100" s="155"/>
      <c r="N100" s="156"/>
      <c r="O100" s="40"/>
      <c r="P100" s="236">
        <f t="shared" si="25"/>
        <v>239771447.99999997</v>
      </c>
      <c r="Q100" s="27"/>
    </row>
    <row r="101" spans="1:20" ht="27" customHeight="1" x14ac:dyDescent="0.3">
      <c r="A101" s="16"/>
      <c r="B101" s="14" t="s">
        <v>58</v>
      </c>
      <c r="C101" s="15" t="s">
        <v>44</v>
      </c>
      <c r="D101" s="26">
        <v>84.65</v>
      </c>
      <c r="E101" s="47" t="s">
        <v>182</v>
      </c>
      <c r="F101" s="26">
        <f>8%*D101</f>
        <v>6.7720000000000002</v>
      </c>
      <c r="G101" s="19">
        <f>6%*D101</f>
        <v>5.0789999999999997</v>
      </c>
      <c r="H101" s="26">
        <f t="shared" si="24"/>
        <v>11.850999999999999</v>
      </c>
      <c r="I101" s="19">
        <v>0</v>
      </c>
      <c r="J101" s="19"/>
      <c r="K101" s="19"/>
      <c r="L101" s="19">
        <v>3</v>
      </c>
      <c r="M101" s="19">
        <f t="shared" ref="M101:M106" si="27">SUM(I101:L101)</f>
        <v>3</v>
      </c>
      <c r="N101" s="35"/>
      <c r="O101" s="40"/>
      <c r="P101" s="236">
        <f t="shared" si="25"/>
        <v>1110320190</v>
      </c>
      <c r="Q101" s="16"/>
      <c r="S101" s="1" t="s">
        <v>599</v>
      </c>
      <c r="T101" s="1" t="s">
        <v>600</v>
      </c>
    </row>
    <row r="102" spans="1:20" ht="29.25" customHeight="1" x14ac:dyDescent="0.3">
      <c r="A102" s="16"/>
      <c r="B102" s="14"/>
      <c r="C102" s="15"/>
      <c r="D102" s="26"/>
      <c r="E102" s="101" t="s">
        <v>181</v>
      </c>
      <c r="F102" s="96">
        <f>3%*D101</f>
        <v>2.5394999999999999</v>
      </c>
      <c r="G102" s="97">
        <f>3%*D101</f>
        <v>2.5394999999999999</v>
      </c>
      <c r="H102" s="96">
        <f t="shared" si="24"/>
        <v>5.0789999999999997</v>
      </c>
      <c r="I102" s="97">
        <v>0</v>
      </c>
      <c r="J102" s="97"/>
      <c r="K102" s="97">
        <v>0</v>
      </c>
      <c r="L102" s="97">
        <v>5</v>
      </c>
      <c r="M102" s="97">
        <f>SUM(I102:L102)</f>
        <v>5</v>
      </c>
      <c r="N102" s="35"/>
      <c r="O102" s="159"/>
      <c r="P102" s="236">
        <f t="shared" si="25"/>
        <v>555160095</v>
      </c>
      <c r="Q102" s="16"/>
    </row>
    <row r="103" spans="1:20" ht="24" customHeight="1" x14ac:dyDescent="0.3">
      <c r="A103" s="16"/>
      <c r="B103" s="14" t="s">
        <v>59</v>
      </c>
      <c r="C103" s="15" t="s">
        <v>33</v>
      </c>
      <c r="D103" s="26">
        <v>14.2</v>
      </c>
      <c r="E103" s="101" t="s">
        <v>181</v>
      </c>
      <c r="F103" s="96">
        <f>8%*D103</f>
        <v>1.1359999999999999</v>
      </c>
      <c r="G103" s="240">
        <f>10%*D103</f>
        <v>1.42</v>
      </c>
      <c r="H103" s="26">
        <f t="shared" si="24"/>
        <v>2.556</v>
      </c>
      <c r="I103" s="19">
        <v>0</v>
      </c>
      <c r="J103" s="19"/>
      <c r="K103" s="19"/>
      <c r="L103" s="19">
        <v>3</v>
      </c>
      <c r="M103" s="19">
        <f t="shared" si="27"/>
        <v>3</v>
      </c>
      <c r="N103" s="35" t="s">
        <v>88</v>
      </c>
      <c r="O103" s="40" t="s">
        <v>274</v>
      </c>
      <c r="P103" s="236">
        <f t="shared" si="25"/>
        <v>310426200</v>
      </c>
      <c r="Q103" s="16"/>
      <c r="S103" s="1" t="s">
        <v>592</v>
      </c>
    </row>
    <row r="104" spans="1:20" ht="21.75" customHeight="1" x14ac:dyDescent="0.3">
      <c r="A104" s="87"/>
      <c r="B104" s="55"/>
      <c r="C104" s="56"/>
      <c r="D104" s="57"/>
      <c r="E104" s="248" t="s">
        <v>671</v>
      </c>
      <c r="F104" s="154">
        <f>5%*D103</f>
        <v>0.71</v>
      </c>
      <c r="G104" s="154">
        <f>D103*3%</f>
        <v>0.42599999999999999</v>
      </c>
      <c r="H104" s="154">
        <f t="shared" si="24"/>
        <v>1.1359999999999999</v>
      </c>
      <c r="I104" s="155"/>
      <c r="J104" s="155"/>
      <c r="K104" s="155"/>
      <c r="L104" s="155">
        <v>2</v>
      </c>
      <c r="M104" s="155"/>
      <c r="N104" s="156"/>
      <c r="O104" s="40"/>
      <c r="P104" s="236">
        <f t="shared" si="25"/>
        <v>93127859.999999985</v>
      </c>
      <c r="Q104" s="87"/>
    </row>
    <row r="105" spans="1:20" ht="23.25" customHeight="1" x14ac:dyDescent="0.3">
      <c r="A105" s="87"/>
      <c r="B105" s="98" t="s">
        <v>61</v>
      </c>
      <c r="C105" s="99" t="s">
        <v>35</v>
      </c>
      <c r="D105" s="96">
        <v>36.72</v>
      </c>
      <c r="E105" s="101" t="s">
        <v>181</v>
      </c>
      <c r="F105" s="96">
        <f>8%*D105</f>
        <v>2.9375999999999998</v>
      </c>
      <c r="G105" s="97">
        <f>4%*D105</f>
        <v>1.4687999999999999</v>
      </c>
      <c r="H105" s="96">
        <f t="shared" si="24"/>
        <v>4.4063999999999997</v>
      </c>
      <c r="I105" s="97">
        <v>0</v>
      </c>
      <c r="J105" s="97"/>
      <c r="K105" s="97">
        <v>0</v>
      </c>
      <c r="L105" s="97">
        <v>5</v>
      </c>
      <c r="M105" s="97">
        <f>SUM(I105:L105)</f>
        <v>5</v>
      </c>
      <c r="N105" s="35"/>
      <c r="O105" s="159"/>
      <c r="P105" s="236">
        <f t="shared" si="25"/>
        <v>321094367.99999994</v>
      </c>
      <c r="Q105" s="87"/>
    </row>
    <row r="106" spans="1:20" ht="29.25" customHeight="1" x14ac:dyDescent="0.3">
      <c r="A106" s="108"/>
      <c r="B106" s="265"/>
      <c r="C106" s="263"/>
      <c r="D106" s="264"/>
      <c r="E106" s="142" t="s">
        <v>183</v>
      </c>
      <c r="F106" s="127">
        <f>6%*D105</f>
        <v>2.2031999999999998</v>
      </c>
      <c r="G106" s="282">
        <f>2%*D105</f>
        <v>0.73439999999999994</v>
      </c>
      <c r="H106" s="127">
        <f t="shared" si="24"/>
        <v>2.9375999999999998</v>
      </c>
      <c r="I106" s="143">
        <v>0</v>
      </c>
      <c r="J106" s="143">
        <v>0</v>
      </c>
      <c r="K106" s="143">
        <v>0</v>
      </c>
      <c r="L106" s="143">
        <v>3</v>
      </c>
      <c r="M106" s="143">
        <f t="shared" si="27"/>
        <v>3</v>
      </c>
      <c r="N106" s="283" t="s">
        <v>254</v>
      </c>
      <c r="O106" s="284" t="s">
        <v>137</v>
      </c>
      <c r="P106" s="285">
        <f t="shared" si="25"/>
        <v>160547183.99999997</v>
      </c>
      <c r="Q106" s="108"/>
      <c r="S106" s="217" t="s">
        <v>601</v>
      </c>
      <c r="T106" s="216" t="s">
        <v>602</v>
      </c>
    </row>
    <row r="107" spans="1:20" ht="20.25" customHeight="1" x14ac:dyDescent="0.3">
      <c r="A107" s="75"/>
      <c r="B107" s="136" t="s">
        <v>351</v>
      </c>
      <c r="C107" s="137"/>
      <c r="D107" s="138">
        <f>SUM(D98:D106)</f>
        <v>190.41</v>
      </c>
      <c r="E107" s="139"/>
      <c r="F107" s="138">
        <f t="shared" ref="F107:M107" si="28">SUM(F98:F106)</f>
        <v>24.5243</v>
      </c>
      <c r="G107" s="140">
        <f t="shared" si="28"/>
        <v>17.700099999999999</v>
      </c>
      <c r="H107" s="138">
        <f t="shared" si="28"/>
        <v>42.224400000000003</v>
      </c>
      <c r="I107" s="140">
        <f t="shared" si="28"/>
        <v>0</v>
      </c>
      <c r="J107" s="140">
        <f t="shared" si="28"/>
        <v>0</v>
      </c>
      <c r="K107" s="140">
        <f t="shared" si="28"/>
        <v>0</v>
      </c>
      <c r="L107" s="140">
        <f t="shared" si="28"/>
        <v>27</v>
      </c>
      <c r="M107" s="140">
        <f t="shared" si="28"/>
        <v>23</v>
      </c>
      <c r="N107" s="76"/>
      <c r="O107" s="77"/>
      <c r="P107" s="237">
        <f>SUM(P98:P106)</f>
        <v>3869418861</v>
      </c>
      <c r="Q107" s="75"/>
      <c r="R107" s="8"/>
    </row>
    <row r="108" spans="1:20" ht="21" customHeight="1" x14ac:dyDescent="0.3">
      <c r="A108" s="63">
        <v>7</v>
      </c>
      <c r="B108" s="8" t="s">
        <v>117</v>
      </c>
      <c r="C108" s="10"/>
      <c r="D108" s="90"/>
      <c r="E108" s="67"/>
      <c r="F108" s="66"/>
      <c r="G108" s="218"/>
      <c r="H108" s="66"/>
      <c r="I108" s="82"/>
      <c r="J108" s="82"/>
      <c r="K108" s="82"/>
      <c r="L108" s="82"/>
      <c r="M108" s="82"/>
      <c r="N108" s="69"/>
      <c r="O108" s="70"/>
      <c r="P108" s="233"/>
      <c r="Q108" s="68"/>
    </row>
    <row r="109" spans="1:20" ht="24.75" customHeight="1" x14ac:dyDescent="0.3">
      <c r="A109" s="16"/>
      <c r="B109" s="14" t="s">
        <v>57</v>
      </c>
      <c r="C109" s="15" t="s">
        <v>22</v>
      </c>
      <c r="D109" s="26">
        <v>300.95</v>
      </c>
      <c r="E109" s="101" t="s">
        <v>203</v>
      </c>
      <c r="F109" s="96">
        <f>3%*D109</f>
        <v>9.0284999999999993</v>
      </c>
      <c r="G109" s="223">
        <f>30%*D109</f>
        <v>90.284999999999997</v>
      </c>
      <c r="H109" s="96">
        <f t="shared" ref="H109:H116" si="29">SUM(F109:G109)</f>
        <v>99.313499999999991</v>
      </c>
      <c r="I109" s="97">
        <v>0</v>
      </c>
      <c r="J109" s="97"/>
      <c r="K109" s="97">
        <v>10</v>
      </c>
      <c r="L109" s="97">
        <v>6</v>
      </c>
      <c r="M109" s="97">
        <f t="shared" ref="M109:M116" si="30">SUM(I109:L109)</f>
        <v>16</v>
      </c>
      <c r="N109" s="35"/>
      <c r="O109" s="40" t="s">
        <v>211</v>
      </c>
      <c r="P109" s="238">
        <f t="shared" ref="P109:P116" si="31">G109*0.3*30%*40000000</f>
        <v>325026000</v>
      </c>
      <c r="Q109" s="16"/>
    </row>
    <row r="110" spans="1:20" ht="18" customHeight="1" x14ac:dyDescent="0.3">
      <c r="A110" s="16"/>
      <c r="B110" s="14"/>
      <c r="C110" s="15"/>
      <c r="D110" s="26"/>
      <c r="E110" s="101" t="s">
        <v>184</v>
      </c>
      <c r="F110" s="96">
        <f>2%*D109</f>
        <v>6.0190000000000001</v>
      </c>
      <c r="G110" s="97">
        <f>5%*D109</f>
        <v>15.047499999999999</v>
      </c>
      <c r="H110" s="96">
        <f>SUM(F110:G110)</f>
        <v>21.066499999999998</v>
      </c>
      <c r="I110" s="97">
        <v>0</v>
      </c>
      <c r="J110" s="97"/>
      <c r="K110" s="97">
        <v>5</v>
      </c>
      <c r="L110" s="97">
        <v>6</v>
      </c>
      <c r="M110" s="97">
        <f t="shared" si="30"/>
        <v>11</v>
      </c>
      <c r="N110" s="35"/>
      <c r="O110" s="40"/>
      <c r="P110" s="238">
        <f t="shared" si="31"/>
        <v>54170999.999999993</v>
      </c>
      <c r="Q110" s="16"/>
    </row>
    <row r="111" spans="1:20" ht="32.25" customHeight="1" x14ac:dyDescent="0.3">
      <c r="A111" s="16"/>
      <c r="B111" s="98" t="s">
        <v>58</v>
      </c>
      <c r="C111" s="99" t="s">
        <v>42</v>
      </c>
      <c r="D111" s="26">
        <v>277.5</v>
      </c>
      <c r="E111" s="101" t="s">
        <v>203</v>
      </c>
      <c r="F111" s="96">
        <f>2%*D111</f>
        <v>5.55</v>
      </c>
      <c r="G111" s="97">
        <f>5%*D111</f>
        <v>13.875</v>
      </c>
      <c r="H111" s="96">
        <f t="shared" si="29"/>
        <v>19.425000000000001</v>
      </c>
      <c r="I111" s="97">
        <v>0</v>
      </c>
      <c r="J111" s="97"/>
      <c r="K111" s="97">
        <v>6</v>
      </c>
      <c r="L111" s="97">
        <v>7</v>
      </c>
      <c r="M111" s="97">
        <f t="shared" si="30"/>
        <v>13</v>
      </c>
      <c r="N111" s="35"/>
      <c r="O111" s="40" t="s">
        <v>137</v>
      </c>
      <c r="P111" s="238">
        <f t="shared" si="31"/>
        <v>49949999.999999993</v>
      </c>
      <c r="Q111" s="16"/>
      <c r="S111" s="1" t="s">
        <v>593</v>
      </c>
    </row>
    <row r="112" spans="1:20" ht="18.75" customHeight="1" x14ac:dyDescent="0.3">
      <c r="A112" s="16"/>
      <c r="B112" s="14"/>
      <c r="C112" s="15"/>
      <c r="D112" s="26"/>
      <c r="E112" s="101" t="s">
        <v>184</v>
      </c>
      <c r="F112" s="96">
        <f>3%*D111</f>
        <v>8.3249999999999993</v>
      </c>
      <c r="G112" s="97">
        <f>5%*D111</f>
        <v>13.875</v>
      </c>
      <c r="H112" s="96">
        <f>SUM(F112:G112)</f>
        <v>22.2</v>
      </c>
      <c r="I112" s="97"/>
      <c r="J112" s="97"/>
      <c r="K112" s="97">
        <v>4</v>
      </c>
      <c r="L112" s="97">
        <v>4</v>
      </c>
      <c r="M112" s="97">
        <f t="shared" si="30"/>
        <v>8</v>
      </c>
      <c r="N112" s="35"/>
      <c r="O112" s="40"/>
      <c r="P112" s="238">
        <f t="shared" si="31"/>
        <v>49949999.999999993</v>
      </c>
      <c r="Q112" s="16"/>
      <c r="S112" s="1" t="s">
        <v>594</v>
      </c>
    </row>
    <row r="113" spans="1:19" ht="27.75" customHeight="1" x14ac:dyDescent="0.3">
      <c r="A113" s="16"/>
      <c r="B113" s="14" t="s">
        <v>59</v>
      </c>
      <c r="C113" s="15" t="s">
        <v>21</v>
      </c>
      <c r="D113" s="18">
        <v>162.94999999999999</v>
      </c>
      <c r="E113" s="101" t="s">
        <v>203</v>
      </c>
      <c r="F113" s="225">
        <f>4%*D113</f>
        <v>6.5179999999999998</v>
      </c>
      <c r="G113" s="225">
        <f>8%*D113</f>
        <v>13.036</v>
      </c>
      <c r="H113" s="96">
        <f t="shared" si="29"/>
        <v>19.553999999999998</v>
      </c>
      <c r="I113" s="97">
        <v>0</v>
      </c>
      <c r="J113" s="97"/>
      <c r="K113" s="97">
        <v>6</v>
      </c>
      <c r="L113" s="97">
        <v>6</v>
      </c>
      <c r="M113" s="97">
        <f t="shared" si="30"/>
        <v>12</v>
      </c>
      <c r="N113" s="35"/>
      <c r="O113" s="36"/>
      <c r="P113" s="238">
        <f t="shared" si="31"/>
        <v>46929599.999999993</v>
      </c>
      <c r="Q113" s="16"/>
      <c r="S113" s="1" t="s">
        <v>595</v>
      </c>
    </row>
    <row r="114" spans="1:19" ht="24" customHeight="1" x14ac:dyDescent="0.3">
      <c r="A114" s="16"/>
      <c r="B114" s="14" t="s">
        <v>60</v>
      </c>
      <c r="C114" s="15" t="s">
        <v>43</v>
      </c>
      <c r="D114" s="26">
        <v>461.8</v>
      </c>
      <c r="E114" s="101" t="s">
        <v>221</v>
      </c>
      <c r="F114" s="96">
        <f>5%*D114</f>
        <v>23.090000000000003</v>
      </c>
      <c r="G114" s="97">
        <f>10%*D114</f>
        <v>46.180000000000007</v>
      </c>
      <c r="H114" s="96">
        <f t="shared" si="29"/>
        <v>69.27000000000001</v>
      </c>
      <c r="I114" s="97">
        <v>0</v>
      </c>
      <c r="J114" s="97"/>
      <c r="K114" s="97">
        <v>10</v>
      </c>
      <c r="L114" s="97">
        <v>6</v>
      </c>
      <c r="M114" s="97">
        <f t="shared" si="30"/>
        <v>16</v>
      </c>
      <c r="N114" s="35"/>
      <c r="O114" s="36"/>
      <c r="P114" s="238">
        <f t="shared" si="31"/>
        <v>166248000</v>
      </c>
      <c r="Q114" s="16"/>
    </row>
    <row r="115" spans="1:19" ht="21" customHeight="1" x14ac:dyDescent="0.3">
      <c r="A115" s="16"/>
      <c r="B115" s="14"/>
      <c r="C115" s="15"/>
      <c r="D115" s="26"/>
      <c r="E115" s="101" t="s">
        <v>184</v>
      </c>
      <c r="F115" s="96">
        <f>3%*D114</f>
        <v>13.853999999999999</v>
      </c>
      <c r="G115" s="96">
        <f>5%*D114</f>
        <v>23.090000000000003</v>
      </c>
      <c r="H115" s="96">
        <f>SUM(F115:G115)</f>
        <v>36.944000000000003</v>
      </c>
      <c r="I115" s="97"/>
      <c r="J115" s="97"/>
      <c r="K115" s="97"/>
      <c r="L115" s="97">
        <v>2</v>
      </c>
      <c r="M115" s="97">
        <f t="shared" si="30"/>
        <v>2</v>
      </c>
      <c r="N115" s="35"/>
      <c r="O115" s="36"/>
      <c r="P115" s="238">
        <f t="shared" si="31"/>
        <v>83124000</v>
      </c>
      <c r="Q115" s="16"/>
    </row>
    <row r="116" spans="1:19" ht="29.25" customHeight="1" x14ac:dyDescent="0.3">
      <c r="A116" s="16"/>
      <c r="B116" s="14" t="s">
        <v>61</v>
      </c>
      <c r="C116" s="15" t="s">
        <v>44</v>
      </c>
      <c r="D116" s="26">
        <v>84.65</v>
      </c>
      <c r="E116" s="101" t="s">
        <v>203</v>
      </c>
      <c r="F116" s="26">
        <f>2%*D116</f>
        <v>1.6930000000000001</v>
      </c>
      <c r="G116" s="220">
        <f>10%*D116</f>
        <v>8.4650000000000016</v>
      </c>
      <c r="H116" s="26">
        <f t="shared" si="29"/>
        <v>10.158000000000001</v>
      </c>
      <c r="I116" s="19">
        <v>0</v>
      </c>
      <c r="J116" s="19"/>
      <c r="K116" s="19"/>
      <c r="L116" s="19">
        <v>5</v>
      </c>
      <c r="M116" s="19">
        <f t="shared" si="30"/>
        <v>5</v>
      </c>
      <c r="N116" s="35"/>
      <c r="O116" s="36"/>
      <c r="P116" s="238">
        <f t="shared" si="31"/>
        <v>30474000</v>
      </c>
      <c r="Q116" s="16"/>
    </row>
    <row r="117" spans="1:19" ht="22.5" customHeight="1" x14ac:dyDescent="0.3">
      <c r="A117" s="75"/>
      <c r="B117" s="72" t="s">
        <v>350</v>
      </c>
      <c r="C117" s="72"/>
      <c r="D117" s="73">
        <f>SUM(D109:D116)</f>
        <v>1287.8500000000001</v>
      </c>
      <c r="E117" s="74"/>
      <c r="F117" s="73">
        <f>SUM(F109:F116)</f>
        <v>74.077500000000001</v>
      </c>
      <c r="G117" s="83">
        <f>SUM(G109:G116)</f>
        <v>223.8535</v>
      </c>
      <c r="H117" s="73">
        <f>SUM(H91:H116)</f>
        <v>416.24729999999994</v>
      </c>
      <c r="I117" s="83">
        <f>SUM(I101:I116)</f>
        <v>0</v>
      </c>
      <c r="J117" s="83">
        <f>SUM(J101:J116)</f>
        <v>0</v>
      </c>
      <c r="K117" s="83">
        <f>SUM(K101:K116)</f>
        <v>41</v>
      </c>
      <c r="L117" s="83">
        <f>SUM(L101:L116)</f>
        <v>90</v>
      </c>
      <c r="M117" s="83">
        <f>SUM(M98:M116)</f>
        <v>129</v>
      </c>
      <c r="N117" s="76"/>
      <c r="O117" s="77"/>
      <c r="P117" s="184">
        <f>SUM(P108:P116)</f>
        <v>805872600</v>
      </c>
      <c r="Q117" s="75"/>
    </row>
    <row r="118" spans="1:19" ht="4.5" customHeight="1" x14ac:dyDescent="0.3">
      <c r="F118" s="2">
        <f>SUM(F109:F117)</f>
        <v>148.155</v>
      </c>
      <c r="G118" s="2"/>
      <c r="H118" s="2"/>
      <c r="I118" s="2"/>
      <c r="J118" s="2"/>
      <c r="K118" s="2"/>
      <c r="L118" s="2"/>
      <c r="M118" s="2"/>
    </row>
    <row r="119" spans="1:19" ht="4.5" customHeight="1" x14ac:dyDescent="0.3">
      <c r="F119" s="2"/>
      <c r="G119" s="2"/>
      <c r="H119" s="2"/>
      <c r="I119" s="2"/>
      <c r="J119" s="2"/>
      <c r="K119" s="2"/>
      <c r="L119" s="2"/>
      <c r="M119" s="2"/>
    </row>
    <row r="120" spans="1:19" ht="4.5" customHeight="1" x14ac:dyDescent="0.3">
      <c r="F120" s="2"/>
      <c r="G120" s="2"/>
      <c r="H120" s="2"/>
      <c r="I120" s="2"/>
      <c r="J120" s="2"/>
      <c r="K120" s="2"/>
      <c r="L120" s="2"/>
      <c r="M120" s="2"/>
    </row>
    <row r="121" spans="1:19" ht="16.5" customHeight="1" x14ac:dyDescent="0.3">
      <c r="F121" s="2"/>
      <c r="G121" s="2"/>
      <c r="H121" s="2"/>
      <c r="I121" s="2"/>
      <c r="J121" s="2" t="s">
        <v>683</v>
      </c>
      <c r="K121" s="2"/>
      <c r="L121" s="2"/>
      <c r="M121" s="2"/>
    </row>
    <row r="122" spans="1:19" ht="12" customHeight="1" x14ac:dyDescent="0.3">
      <c r="A122" s="395" t="s">
        <v>80</v>
      </c>
      <c r="B122" s="395"/>
      <c r="C122" s="395"/>
      <c r="D122" s="395"/>
    </row>
    <row r="123" spans="1:19" x14ac:dyDescent="0.3">
      <c r="A123" s="395" t="s">
        <v>81</v>
      </c>
      <c r="B123" s="395"/>
      <c r="C123" s="395"/>
      <c r="D123" s="395"/>
      <c r="J123" s="1" t="s">
        <v>85</v>
      </c>
    </row>
    <row r="124" spans="1:19" x14ac:dyDescent="0.3">
      <c r="A124" s="395" t="s">
        <v>82</v>
      </c>
      <c r="B124" s="395"/>
      <c r="C124" s="395"/>
      <c r="D124" s="395"/>
      <c r="J124" s="3" t="s">
        <v>86</v>
      </c>
      <c r="K124" s="1" t="s">
        <v>175</v>
      </c>
      <c r="O124" s="1" t="s">
        <v>90</v>
      </c>
    </row>
    <row r="125" spans="1:19" x14ac:dyDescent="0.3">
      <c r="A125" s="395" t="s">
        <v>83</v>
      </c>
      <c r="B125" s="395"/>
      <c r="C125" s="395"/>
      <c r="D125" s="395"/>
      <c r="K125" s="1" t="s">
        <v>651</v>
      </c>
    </row>
    <row r="126" spans="1:19" ht="9.75" customHeight="1" x14ac:dyDescent="0.3"/>
    <row r="127" spans="1:19" ht="14.25" customHeight="1" x14ac:dyDescent="0.3">
      <c r="J127" s="3" t="s">
        <v>88</v>
      </c>
      <c r="K127" s="1" t="s">
        <v>87</v>
      </c>
      <c r="O127" s="1" t="s">
        <v>90</v>
      </c>
    </row>
    <row r="128" spans="1:19" x14ac:dyDescent="0.3">
      <c r="K128" s="1" t="s">
        <v>91</v>
      </c>
    </row>
    <row r="129" spans="1:15" ht="13.5" customHeight="1" x14ac:dyDescent="0.3">
      <c r="A129" s="398" t="s">
        <v>175</v>
      </c>
      <c r="B129" s="398"/>
      <c r="C129" s="398"/>
      <c r="D129" s="398"/>
    </row>
    <row r="130" spans="1:15" x14ac:dyDescent="0.3">
      <c r="A130" s="395" t="s">
        <v>190</v>
      </c>
      <c r="B130" s="395"/>
      <c r="C130" s="395"/>
      <c r="D130" s="395"/>
      <c r="J130" s="1" t="s">
        <v>254</v>
      </c>
      <c r="K130" s="1" t="s">
        <v>89</v>
      </c>
      <c r="O130" s="1" t="s">
        <v>90</v>
      </c>
    </row>
    <row r="131" spans="1:15" x14ac:dyDescent="0.3">
      <c r="K131" s="1" t="s">
        <v>92</v>
      </c>
    </row>
    <row r="132" spans="1:15" ht="8.25" customHeight="1" x14ac:dyDescent="0.3"/>
    <row r="133" spans="1:15" x14ac:dyDescent="0.3">
      <c r="J133" s="241" t="s">
        <v>265</v>
      </c>
      <c r="K133" s="1" t="s">
        <v>652</v>
      </c>
      <c r="O133" s="1" t="s">
        <v>90</v>
      </c>
    </row>
    <row r="134" spans="1:15" ht="14.25" customHeight="1" x14ac:dyDescent="0.3">
      <c r="J134" s="241"/>
      <c r="K134" s="1" t="s">
        <v>658</v>
      </c>
    </row>
    <row r="135" spans="1:15" ht="5.25" customHeight="1" x14ac:dyDescent="0.3">
      <c r="J135" s="241"/>
    </row>
    <row r="136" spans="1:15" x14ac:dyDescent="0.3">
      <c r="J136" s="241" t="s">
        <v>650</v>
      </c>
      <c r="K136" s="1" t="s">
        <v>255</v>
      </c>
      <c r="O136" s="1" t="s">
        <v>90</v>
      </c>
    </row>
    <row r="137" spans="1:15" x14ac:dyDescent="0.3">
      <c r="K137" s="1" t="s">
        <v>654</v>
      </c>
    </row>
  </sheetData>
  <mergeCells count="24">
    <mergeCell ref="O42:O48"/>
    <mergeCell ref="A1:Q1"/>
    <mergeCell ref="A2:Q2"/>
    <mergeCell ref="A6:A7"/>
    <mergeCell ref="B6:C6"/>
    <mergeCell ref="D6:D7"/>
    <mergeCell ref="E6:E7"/>
    <mergeCell ref="F6:H6"/>
    <mergeCell ref="I6:M6"/>
    <mergeCell ref="N6:O7"/>
    <mergeCell ref="P6:P7"/>
    <mergeCell ref="Q6:Q7"/>
    <mergeCell ref="B7:C7"/>
    <mergeCell ref="B24:C24"/>
    <mergeCell ref="O32:O35"/>
    <mergeCell ref="B40:C40"/>
    <mergeCell ref="A129:D129"/>
    <mergeCell ref="A130:D130"/>
    <mergeCell ref="O50:O62"/>
    <mergeCell ref="O64:O69"/>
    <mergeCell ref="A122:D122"/>
    <mergeCell ref="A123:D123"/>
    <mergeCell ref="A124:D124"/>
    <mergeCell ref="A125:D125"/>
  </mergeCells>
  <pageMargins left="0.36" right="0.70866141732283472" top="0.47" bottom="0.74803149606299213" header="0.31496062992125984" footer="0.31496062992125984"/>
  <pageSetup paperSize="5" scale="90" orientation="landscape" horizontalDpi="4294967293"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T137"/>
  <sheetViews>
    <sheetView view="pageBreakPreview" topLeftCell="C121" zoomScale="96" zoomScaleNormal="100" zoomScaleSheetLayoutView="96" workbookViewId="0">
      <selection activeCell="E13" sqref="E13"/>
    </sheetView>
  </sheetViews>
  <sheetFormatPr defaultColWidth="9.1796875" defaultRowHeight="14" x14ac:dyDescent="0.3"/>
  <cols>
    <col min="1" max="1" width="4.81640625" style="1" customWidth="1"/>
    <col min="2" max="2" width="2.1796875" style="1" customWidth="1"/>
    <col min="3" max="3" width="16.26953125" style="1" customWidth="1"/>
    <col min="4" max="4" width="12" style="1" customWidth="1"/>
    <col min="5" max="5" width="30.54296875" style="1" customWidth="1"/>
    <col min="6" max="6" width="11" style="1" bestFit="1" customWidth="1"/>
    <col min="7" max="7" width="8.81640625" style="1" customWidth="1"/>
    <col min="8" max="8" width="9" style="1" customWidth="1"/>
    <col min="9" max="9" width="6.7265625" style="1" customWidth="1"/>
    <col min="10" max="10" width="7" style="1" customWidth="1"/>
    <col min="11" max="12" width="7.54296875" style="1" customWidth="1"/>
    <col min="13" max="13" width="6.81640625" style="1" bestFit="1" customWidth="1"/>
    <col min="14" max="14" width="2" style="1" customWidth="1"/>
    <col min="15" max="15" width="17" style="1" customWidth="1"/>
    <col min="16" max="16" width="15" style="1" customWidth="1"/>
    <col min="17" max="17" width="8.81640625" style="1" customWidth="1"/>
    <col min="18" max="19" width="9.1796875" style="1"/>
    <col min="20" max="20" width="10.7265625" style="1" customWidth="1"/>
    <col min="21" max="16384" width="9.1796875" style="1"/>
  </cols>
  <sheetData>
    <row r="1" spans="1:20" x14ac:dyDescent="0.3">
      <c r="A1" s="385" t="s">
        <v>260</v>
      </c>
      <c r="B1" s="385"/>
      <c r="C1" s="385"/>
      <c r="D1" s="385"/>
      <c r="E1" s="385"/>
      <c r="F1" s="385"/>
      <c r="G1" s="385"/>
      <c r="H1" s="385"/>
      <c r="I1" s="385"/>
      <c r="J1" s="385"/>
      <c r="K1" s="385"/>
      <c r="L1" s="385"/>
      <c r="M1" s="385"/>
      <c r="N1" s="385"/>
      <c r="O1" s="385"/>
      <c r="P1" s="385"/>
      <c r="Q1" s="385"/>
    </row>
    <row r="2" spans="1:20" ht="14.25" customHeight="1" x14ac:dyDescent="0.3">
      <c r="A2" s="385" t="s">
        <v>646</v>
      </c>
      <c r="B2" s="385"/>
      <c r="C2" s="385"/>
      <c r="D2" s="385"/>
      <c r="E2" s="385"/>
      <c r="F2" s="385"/>
      <c r="G2" s="385"/>
      <c r="H2" s="385"/>
      <c r="I2" s="385"/>
      <c r="J2" s="385"/>
      <c r="K2" s="385"/>
      <c r="L2" s="385"/>
      <c r="M2" s="385"/>
      <c r="N2" s="385"/>
      <c r="O2" s="385"/>
      <c r="P2" s="385"/>
      <c r="Q2" s="385"/>
    </row>
    <row r="3" spans="1:20" ht="14.25" customHeight="1" x14ac:dyDescent="0.3">
      <c r="A3" s="1" t="s">
        <v>1</v>
      </c>
      <c r="C3" s="1" t="s">
        <v>603</v>
      </c>
    </row>
    <row r="4" spans="1:20" ht="14.25" customHeight="1" x14ac:dyDescent="0.3">
      <c r="A4" s="1" t="s">
        <v>2</v>
      </c>
      <c r="C4" s="1" t="s">
        <v>684</v>
      </c>
      <c r="D4" s="4"/>
    </row>
    <row r="5" spans="1:20" ht="6" customHeight="1" x14ac:dyDescent="0.3"/>
    <row r="6" spans="1:20" ht="19.5" customHeight="1" x14ac:dyDescent="0.3">
      <c r="A6" s="386" t="s">
        <v>3</v>
      </c>
      <c r="B6" s="388" t="s">
        <v>4</v>
      </c>
      <c r="C6" s="388"/>
      <c r="D6" s="391" t="s">
        <v>259</v>
      </c>
      <c r="E6" s="391" t="s">
        <v>7</v>
      </c>
      <c r="F6" s="393" t="s">
        <v>170</v>
      </c>
      <c r="G6" s="393"/>
      <c r="H6" s="393"/>
      <c r="I6" s="393" t="s">
        <v>12</v>
      </c>
      <c r="J6" s="393"/>
      <c r="K6" s="393"/>
      <c r="L6" s="393"/>
      <c r="M6" s="393"/>
      <c r="N6" s="391" t="s">
        <v>17</v>
      </c>
      <c r="O6" s="391"/>
      <c r="P6" s="391" t="s">
        <v>258</v>
      </c>
      <c r="Q6" s="386" t="s">
        <v>192</v>
      </c>
    </row>
    <row r="7" spans="1:20" ht="24.75" customHeight="1" x14ac:dyDescent="0.3">
      <c r="A7" s="387"/>
      <c r="B7" s="394" t="s">
        <v>5</v>
      </c>
      <c r="C7" s="394"/>
      <c r="D7" s="392"/>
      <c r="E7" s="392"/>
      <c r="F7" s="147" t="s">
        <v>9</v>
      </c>
      <c r="G7" s="147" t="s">
        <v>10</v>
      </c>
      <c r="H7" s="147" t="s">
        <v>11</v>
      </c>
      <c r="I7" s="147" t="s">
        <v>16</v>
      </c>
      <c r="J7" s="147" t="s">
        <v>13</v>
      </c>
      <c r="K7" s="147" t="s">
        <v>14</v>
      </c>
      <c r="L7" s="148" t="s">
        <v>257</v>
      </c>
      <c r="M7" s="147" t="s">
        <v>11</v>
      </c>
      <c r="N7" s="392"/>
      <c r="O7" s="392"/>
      <c r="P7" s="392"/>
      <c r="Q7" s="387"/>
    </row>
    <row r="8" spans="1:20" ht="6" customHeight="1" x14ac:dyDescent="0.3">
      <c r="A8" s="5"/>
      <c r="B8" s="8"/>
      <c r="C8" s="10"/>
      <c r="D8" s="5"/>
      <c r="E8" s="5"/>
      <c r="F8" s="5"/>
      <c r="G8" s="5"/>
      <c r="H8" s="5"/>
      <c r="I8" s="5"/>
      <c r="J8" s="5"/>
      <c r="K8" s="5"/>
      <c r="L8" s="5"/>
      <c r="M8" s="5"/>
      <c r="N8" s="8"/>
      <c r="O8" s="10"/>
      <c r="P8" s="10"/>
      <c r="Q8" s="5"/>
    </row>
    <row r="9" spans="1:20" ht="18" customHeight="1" x14ac:dyDescent="0.3">
      <c r="A9" s="13">
        <v>1</v>
      </c>
      <c r="B9" s="14" t="s">
        <v>20</v>
      </c>
      <c r="C9" s="15"/>
      <c r="D9" s="16"/>
      <c r="E9" s="47"/>
      <c r="F9" s="16"/>
      <c r="G9" s="16"/>
      <c r="H9" s="16"/>
      <c r="I9" s="16"/>
      <c r="J9" s="16"/>
      <c r="K9" s="16"/>
      <c r="L9" s="16"/>
      <c r="M9" s="16"/>
      <c r="N9" s="35"/>
      <c r="O9" s="36"/>
      <c r="P9" s="226"/>
      <c r="Q9" s="16"/>
    </row>
    <row r="10" spans="1:20" ht="34.5" customHeight="1" x14ac:dyDescent="0.3">
      <c r="A10" s="13"/>
      <c r="B10" s="17" t="s">
        <v>57</v>
      </c>
      <c r="C10" s="15" t="s">
        <v>21</v>
      </c>
      <c r="D10" s="18">
        <v>430.06</v>
      </c>
      <c r="E10" s="49" t="s">
        <v>649</v>
      </c>
      <c r="F10" s="26">
        <f>1%*D10</f>
        <v>4.3006000000000002</v>
      </c>
      <c r="G10" s="26">
        <f>0.6%*D10</f>
        <v>2.5803600000000002</v>
      </c>
      <c r="H10" s="26">
        <f>SUM(F10:G10)</f>
        <v>6.88096</v>
      </c>
      <c r="I10" s="19">
        <v>0</v>
      </c>
      <c r="J10" s="19"/>
      <c r="K10" s="19">
        <v>5</v>
      </c>
      <c r="L10" s="19">
        <v>3</v>
      </c>
      <c r="M10" s="20">
        <f>SUM(I10:L10)</f>
        <v>8</v>
      </c>
      <c r="N10" s="37"/>
      <c r="O10" s="36"/>
      <c r="P10" s="227">
        <f t="shared" ref="P10:P23" si="0">G10*0.261*12%*0</f>
        <v>0</v>
      </c>
      <c r="Q10" s="16"/>
      <c r="S10" s="1" t="s">
        <v>333</v>
      </c>
      <c r="T10" s="1" t="s">
        <v>341</v>
      </c>
    </row>
    <row r="11" spans="1:20" ht="21.75" customHeight="1" x14ac:dyDescent="0.3">
      <c r="A11" s="13"/>
      <c r="B11" s="14"/>
      <c r="C11" s="15"/>
      <c r="D11" s="18"/>
      <c r="E11" s="47" t="s">
        <v>37</v>
      </c>
      <c r="F11" s="26">
        <f>1%*D10</f>
        <v>4.3006000000000002</v>
      </c>
      <c r="G11" s="26">
        <f>0.5%*D10</f>
        <v>2.1503000000000001</v>
      </c>
      <c r="H11" s="26">
        <f>SUM(F11:G11)</f>
        <v>6.4509000000000007</v>
      </c>
      <c r="I11" s="19">
        <v>0</v>
      </c>
      <c r="J11" s="19"/>
      <c r="K11" s="19"/>
      <c r="L11" s="19">
        <v>3</v>
      </c>
      <c r="M11" s="20">
        <f t="shared" ref="M11:M23" si="1">SUM(I11:L11)</f>
        <v>3</v>
      </c>
      <c r="N11" s="37" t="s">
        <v>51</v>
      </c>
      <c r="O11" s="38" t="s">
        <v>50</v>
      </c>
      <c r="P11" s="227">
        <f t="shared" si="0"/>
        <v>0</v>
      </c>
      <c r="Q11" s="16"/>
    </row>
    <row r="12" spans="1:20" ht="24.75" customHeight="1" x14ac:dyDescent="0.3">
      <c r="A12" s="13"/>
      <c r="B12" s="14"/>
      <c r="C12" s="15"/>
      <c r="D12" s="18"/>
      <c r="E12" s="47" t="s">
        <v>38</v>
      </c>
      <c r="F12" s="26">
        <f>1%*D10</f>
        <v>4.3006000000000002</v>
      </c>
      <c r="G12" s="26">
        <f>3%*D10</f>
        <v>12.9018</v>
      </c>
      <c r="H12" s="26">
        <f>SUM(F12:G12)</f>
        <v>17.202400000000001</v>
      </c>
      <c r="I12" s="19">
        <v>0</v>
      </c>
      <c r="J12" s="19"/>
      <c r="K12" s="19"/>
      <c r="L12" s="19">
        <v>4</v>
      </c>
      <c r="M12" s="20">
        <f t="shared" si="1"/>
        <v>4</v>
      </c>
      <c r="N12" s="37" t="s">
        <v>51</v>
      </c>
      <c r="O12" s="36" t="s">
        <v>678</v>
      </c>
      <c r="P12" s="227">
        <f t="shared" si="0"/>
        <v>0</v>
      </c>
      <c r="Q12" s="16"/>
      <c r="S12" s="1" t="s">
        <v>343</v>
      </c>
    </row>
    <row r="13" spans="1:20" ht="31.5" customHeight="1" x14ac:dyDescent="0.3">
      <c r="A13" s="102"/>
      <c r="B13" s="98"/>
      <c r="C13" s="99"/>
      <c r="D13" s="255"/>
      <c r="E13" s="101" t="s">
        <v>39</v>
      </c>
      <c r="F13" s="96">
        <f>10%*D10</f>
        <v>43.006</v>
      </c>
      <c r="G13" s="96">
        <f>4%*D10</f>
        <v>17.202400000000001</v>
      </c>
      <c r="H13" s="96">
        <f>SUM(F13:G13)</f>
        <v>60.208399999999997</v>
      </c>
      <c r="I13" s="97">
        <v>0</v>
      </c>
      <c r="J13" s="97">
        <v>0</v>
      </c>
      <c r="K13" s="97">
        <v>0</v>
      </c>
      <c r="L13" s="97">
        <v>4</v>
      </c>
      <c r="M13" s="121">
        <f t="shared" si="1"/>
        <v>4</v>
      </c>
      <c r="N13" s="256" t="s">
        <v>51</v>
      </c>
      <c r="O13" s="169" t="s">
        <v>48</v>
      </c>
      <c r="P13" s="228">
        <f t="shared" si="0"/>
        <v>0</v>
      </c>
      <c r="Q13" s="257"/>
      <c r="S13" s="1" t="s">
        <v>342</v>
      </c>
    </row>
    <row r="14" spans="1:20" ht="24.75" customHeight="1" x14ac:dyDescent="0.3">
      <c r="A14" s="13"/>
      <c r="B14" s="17" t="s">
        <v>58</v>
      </c>
      <c r="C14" s="15" t="s">
        <v>22</v>
      </c>
      <c r="D14" s="18">
        <v>856.82</v>
      </c>
      <c r="E14" s="47" t="s">
        <v>36</v>
      </c>
      <c r="F14" s="26">
        <f>2%*D14</f>
        <v>17.136400000000002</v>
      </c>
      <c r="G14" s="26">
        <f>5%*D14</f>
        <v>42.841000000000008</v>
      </c>
      <c r="H14" s="26">
        <f>SUM(F14:G14)</f>
        <v>59.97740000000001</v>
      </c>
      <c r="I14" s="19">
        <v>0</v>
      </c>
      <c r="J14" s="19"/>
      <c r="K14" s="19">
        <v>3</v>
      </c>
      <c r="L14" s="19">
        <v>5</v>
      </c>
      <c r="M14" s="20">
        <f t="shared" si="1"/>
        <v>8</v>
      </c>
      <c r="N14" s="35" t="s">
        <v>51</v>
      </c>
      <c r="O14" s="41" t="s">
        <v>137</v>
      </c>
      <c r="P14" s="227">
        <f t="shared" si="0"/>
        <v>0</v>
      </c>
      <c r="Q14" s="16"/>
    </row>
    <row r="15" spans="1:20" ht="18.75" customHeight="1" x14ac:dyDescent="0.3">
      <c r="A15" s="13"/>
      <c r="B15" s="14"/>
      <c r="C15" s="15"/>
      <c r="D15" s="26"/>
      <c r="E15" s="47" t="s">
        <v>37</v>
      </c>
      <c r="F15" s="26">
        <f>2%*D14</f>
        <v>17.136400000000002</v>
      </c>
      <c r="G15" s="26">
        <f>4%*D14</f>
        <v>34.272800000000004</v>
      </c>
      <c r="H15" s="26">
        <f t="shared" ref="H15:H17" si="2">SUM(F15:G15)</f>
        <v>51.409200000000006</v>
      </c>
      <c r="I15" s="19">
        <v>0</v>
      </c>
      <c r="J15" s="19"/>
      <c r="K15" s="19"/>
      <c r="L15" s="19">
        <v>4</v>
      </c>
      <c r="M15" s="20">
        <f t="shared" si="1"/>
        <v>4</v>
      </c>
      <c r="N15" s="35"/>
      <c r="O15" s="36"/>
      <c r="P15" s="227">
        <f t="shared" si="0"/>
        <v>0</v>
      </c>
      <c r="Q15" s="16"/>
      <c r="S15" s="1" t="s">
        <v>344</v>
      </c>
    </row>
    <row r="16" spans="1:20" ht="18.75" customHeight="1" x14ac:dyDescent="0.3">
      <c r="A16" s="13"/>
      <c r="B16" s="14"/>
      <c r="C16" s="15"/>
      <c r="D16" s="26"/>
      <c r="E16" s="47" t="s">
        <v>38</v>
      </c>
      <c r="F16" s="26">
        <f>3%*D14</f>
        <v>25.704599999999999</v>
      </c>
      <c r="G16" s="26">
        <f>4%*D14</f>
        <v>34.272800000000004</v>
      </c>
      <c r="H16" s="26">
        <f t="shared" si="2"/>
        <v>59.977400000000003</v>
      </c>
      <c r="I16" s="19">
        <v>0</v>
      </c>
      <c r="J16" s="19"/>
      <c r="K16" s="19"/>
      <c r="L16" s="19">
        <v>4</v>
      </c>
      <c r="M16" s="20">
        <f t="shared" si="1"/>
        <v>4</v>
      </c>
      <c r="N16" s="35"/>
      <c r="O16" s="36"/>
      <c r="P16" s="227">
        <f t="shared" si="0"/>
        <v>0</v>
      </c>
      <c r="Q16" s="16"/>
      <c r="S16" s="1" t="s">
        <v>345</v>
      </c>
    </row>
    <row r="17" spans="1:20" ht="17.25" customHeight="1" x14ac:dyDescent="0.3">
      <c r="A17" s="54"/>
      <c r="B17" s="55"/>
      <c r="C17" s="56"/>
      <c r="D17" s="57"/>
      <c r="E17" s="58" t="s">
        <v>39</v>
      </c>
      <c r="F17" s="119">
        <f>3%*D14</f>
        <v>25.704599999999999</v>
      </c>
      <c r="G17" s="119">
        <f>4%*D14</f>
        <v>34.272800000000004</v>
      </c>
      <c r="H17" s="119">
        <f t="shared" si="2"/>
        <v>59.977400000000003</v>
      </c>
      <c r="I17" s="59">
        <v>0</v>
      </c>
      <c r="J17" s="59">
        <v>0</v>
      </c>
      <c r="K17" s="59">
        <v>0</v>
      </c>
      <c r="L17" s="59">
        <v>5</v>
      </c>
      <c r="M17" s="60">
        <f t="shared" si="1"/>
        <v>5</v>
      </c>
      <c r="N17" s="42"/>
      <c r="O17" s="38"/>
      <c r="P17" s="227">
        <f t="shared" si="0"/>
        <v>0</v>
      </c>
      <c r="Q17" s="29"/>
    </row>
    <row r="18" spans="1:20" ht="21" customHeight="1" x14ac:dyDescent="0.3">
      <c r="A18" s="54"/>
      <c r="B18" s="55" t="s">
        <v>59</v>
      </c>
      <c r="C18" s="56" t="s">
        <v>27</v>
      </c>
      <c r="D18" s="18">
        <v>113.45</v>
      </c>
      <c r="E18" s="47" t="s">
        <v>36</v>
      </c>
      <c r="F18" s="26">
        <f>14%*D18</f>
        <v>15.883000000000003</v>
      </c>
      <c r="G18" s="26">
        <f>5%*F18</f>
        <v>0.79415000000000013</v>
      </c>
      <c r="H18" s="26">
        <f>SUM(F18:G18)</f>
        <v>16.677150000000005</v>
      </c>
      <c r="I18" s="19">
        <v>0</v>
      </c>
      <c r="J18" s="19"/>
      <c r="K18" s="19">
        <v>2</v>
      </c>
      <c r="L18" s="19">
        <v>6</v>
      </c>
      <c r="M18" s="20">
        <f t="shared" si="1"/>
        <v>8</v>
      </c>
      <c r="N18" s="42"/>
      <c r="O18" s="38"/>
      <c r="P18" s="227">
        <f t="shared" si="0"/>
        <v>0</v>
      </c>
      <c r="Q18" s="29"/>
    </row>
    <row r="19" spans="1:20" ht="18.75" customHeight="1" x14ac:dyDescent="0.3">
      <c r="A19" s="54"/>
      <c r="B19" s="55"/>
      <c r="C19" s="56"/>
      <c r="D19" s="26"/>
      <c r="E19" s="47" t="s">
        <v>37</v>
      </c>
      <c r="F19" s="26">
        <f>3%*D18</f>
        <v>3.4034999999999997</v>
      </c>
      <c r="G19" s="26">
        <f>2%*D18</f>
        <v>2.2690000000000001</v>
      </c>
      <c r="H19" s="26">
        <f t="shared" ref="H19:H20" si="3">SUM(F19:G19)</f>
        <v>5.6724999999999994</v>
      </c>
      <c r="I19" s="19">
        <v>0</v>
      </c>
      <c r="J19" s="19"/>
      <c r="K19" s="19"/>
      <c r="L19" s="19">
        <v>6</v>
      </c>
      <c r="M19" s="20">
        <f t="shared" si="1"/>
        <v>6</v>
      </c>
      <c r="N19" s="42"/>
      <c r="O19" s="38"/>
      <c r="P19" s="227">
        <f t="shared" si="0"/>
        <v>0</v>
      </c>
      <c r="Q19" s="29"/>
    </row>
    <row r="20" spans="1:20" ht="21.75" customHeight="1" x14ac:dyDescent="0.3">
      <c r="A20" s="54"/>
      <c r="B20" s="55"/>
      <c r="C20" s="56"/>
      <c r="D20" s="26"/>
      <c r="E20" s="47" t="s">
        <v>38</v>
      </c>
      <c r="F20" s="26">
        <f>2%*D18</f>
        <v>2.2690000000000001</v>
      </c>
      <c r="G20" s="26">
        <f>4%*D18</f>
        <v>4.5380000000000003</v>
      </c>
      <c r="H20" s="26">
        <f t="shared" si="3"/>
        <v>6.8070000000000004</v>
      </c>
      <c r="I20" s="19">
        <v>0</v>
      </c>
      <c r="J20" s="19"/>
      <c r="K20" s="19"/>
      <c r="L20" s="19">
        <v>4</v>
      </c>
      <c r="M20" s="20">
        <f t="shared" si="1"/>
        <v>4</v>
      </c>
      <c r="N20" s="42"/>
      <c r="O20" s="38"/>
      <c r="P20" s="227">
        <f t="shared" si="0"/>
        <v>0</v>
      </c>
      <c r="Q20" s="29"/>
    </row>
    <row r="21" spans="1:20" ht="20.25" customHeight="1" x14ac:dyDescent="0.3">
      <c r="A21" s="13"/>
      <c r="B21" s="17" t="s">
        <v>60</v>
      </c>
      <c r="C21" s="15" t="s">
        <v>42</v>
      </c>
      <c r="D21" s="18">
        <v>527.28</v>
      </c>
      <c r="E21" s="47" t="s">
        <v>36</v>
      </c>
      <c r="F21" s="26">
        <f>26%*D18</f>
        <v>29.497000000000003</v>
      </c>
      <c r="G21" s="26">
        <f>4%*D21</f>
        <v>21.091200000000001</v>
      </c>
      <c r="H21" s="26">
        <f>SUM(F21:G21)</f>
        <v>50.588200000000001</v>
      </c>
      <c r="I21" s="19">
        <v>0</v>
      </c>
      <c r="J21" s="19"/>
      <c r="K21" s="19">
        <v>4</v>
      </c>
      <c r="L21" s="19">
        <v>6</v>
      </c>
      <c r="M21" s="20">
        <f t="shared" si="1"/>
        <v>10</v>
      </c>
      <c r="N21" s="35"/>
      <c r="O21" s="36"/>
      <c r="P21" s="227">
        <f t="shared" si="0"/>
        <v>0</v>
      </c>
      <c r="Q21" s="29"/>
    </row>
    <row r="22" spans="1:20" ht="24.75" customHeight="1" x14ac:dyDescent="0.3">
      <c r="A22" s="13"/>
      <c r="B22" s="14"/>
      <c r="C22" s="15"/>
      <c r="D22" s="26"/>
      <c r="E22" s="47" t="s">
        <v>37</v>
      </c>
      <c r="F22" s="26">
        <f>24%*D21</f>
        <v>126.54719999999999</v>
      </c>
      <c r="G22" s="26">
        <f>3%*D21</f>
        <v>15.818399999999999</v>
      </c>
      <c r="H22" s="26">
        <f t="shared" ref="H22:H23" si="4">SUM(F22:G22)</f>
        <v>142.3656</v>
      </c>
      <c r="I22" s="19">
        <v>0</v>
      </c>
      <c r="J22" s="19"/>
      <c r="K22" s="19"/>
      <c r="L22" s="19">
        <v>3</v>
      </c>
      <c r="M22" s="20">
        <f t="shared" si="1"/>
        <v>3</v>
      </c>
      <c r="N22" s="35"/>
      <c r="O22" s="36"/>
      <c r="P22" s="227">
        <f t="shared" si="0"/>
        <v>0</v>
      </c>
      <c r="Q22" s="29"/>
    </row>
    <row r="23" spans="1:20" ht="25.5" customHeight="1" x14ac:dyDescent="0.3">
      <c r="A23" s="13"/>
      <c r="B23" s="14"/>
      <c r="C23" s="15"/>
      <c r="D23" s="26"/>
      <c r="E23" s="47" t="s">
        <v>38</v>
      </c>
      <c r="F23" s="26">
        <f>3%*D21</f>
        <v>15.818399999999999</v>
      </c>
      <c r="G23" s="26">
        <f>6%*D21</f>
        <v>31.636799999999997</v>
      </c>
      <c r="H23" s="26">
        <f t="shared" si="4"/>
        <v>47.455199999999998</v>
      </c>
      <c r="I23" s="19">
        <v>0</v>
      </c>
      <c r="J23" s="19"/>
      <c r="K23" s="19"/>
      <c r="L23" s="19">
        <v>1</v>
      </c>
      <c r="M23" s="20">
        <f t="shared" si="1"/>
        <v>1</v>
      </c>
      <c r="N23" s="80"/>
      <c r="O23" s="81"/>
      <c r="P23" s="227">
        <f t="shared" si="0"/>
        <v>0</v>
      </c>
      <c r="Q23" s="88"/>
    </row>
    <row r="24" spans="1:20" ht="18.75" customHeight="1" x14ac:dyDescent="0.3">
      <c r="A24" s="89"/>
      <c r="B24" s="402" t="s">
        <v>325</v>
      </c>
      <c r="C24" s="403"/>
      <c r="D24" s="73">
        <f>SUM(D9:D17)</f>
        <v>1286.8800000000001</v>
      </c>
      <c r="E24" s="74"/>
      <c r="F24" s="118">
        <f>SUM(F10:F23)</f>
        <v>335.00790000000001</v>
      </c>
      <c r="G24" s="118">
        <f>SUM(G23,G20,G17,G13)</f>
        <v>87.649999999999991</v>
      </c>
      <c r="H24" s="118">
        <f>F24+G24</f>
        <v>422.65789999999998</v>
      </c>
      <c r="I24" s="75">
        <f>SUM(I9:I17)</f>
        <v>0</v>
      </c>
      <c r="J24" s="75">
        <f>SUM(J9:J17)</f>
        <v>0</v>
      </c>
      <c r="K24" s="75">
        <f>SUM(K8:K23)</f>
        <v>14</v>
      </c>
      <c r="L24" s="160">
        <f>SUM(L10:L23)</f>
        <v>58</v>
      </c>
      <c r="M24" s="160">
        <f>SUM(M10:M23)</f>
        <v>72</v>
      </c>
      <c r="N24" s="76"/>
      <c r="O24" s="77"/>
      <c r="P24" s="229">
        <f>SUM(P10:P23)</f>
        <v>0</v>
      </c>
      <c r="Q24" s="75"/>
    </row>
    <row r="25" spans="1:20" ht="18.75" customHeight="1" x14ac:dyDescent="0.3">
      <c r="A25" s="268"/>
      <c r="B25" s="268"/>
      <c r="C25" s="268"/>
      <c r="D25" s="272"/>
      <c r="E25" s="270"/>
      <c r="F25" s="277"/>
      <c r="G25" s="277"/>
      <c r="H25" s="277"/>
      <c r="I25" s="177"/>
      <c r="J25" s="177"/>
      <c r="K25" s="177"/>
      <c r="L25" s="278"/>
      <c r="M25" s="278"/>
      <c r="N25" s="270"/>
      <c r="O25" s="270"/>
      <c r="P25" s="279"/>
      <c r="Q25" s="177"/>
    </row>
    <row r="26" spans="1:20" ht="18.75" customHeight="1" x14ac:dyDescent="0.3">
      <c r="A26" s="150"/>
      <c r="B26" s="150"/>
      <c r="C26" s="150"/>
      <c r="D26" s="273"/>
      <c r="E26" s="41"/>
      <c r="F26" s="280"/>
      <c r="G26" s="280"/>
      <c r="H26" s="280"/>
      <c r="L26" s="164"/>
      <c r="M26" s="164"/>
      <c r="N26" s="41"/>
      <c r="O26" s="41"/>
      <c r="P26" s="281"/>
    </row>
    <row r="27" spans="1:20" ht="18.75" customHeight="1" x14ac:dyDescent="0.3">
      <c r="A27" s="150"/>
      <c r="B27" s="150"/>
      <c r="C27" s="150"/>
      <c r="D27" s="273"/>
      <c r="E27" s="41"/>
      <c r="F27" s="280"/>
      <c r="G27" s="280"/>
      <c r="H27" s="280"/>
      <c r="L27" s="164"/>
      <c r="M27" s="164"/>
      <c r="N27" s="41"/>
      <c r="O27" s="41"/>
      <c r="P27" s="281"/>
    </row>
    <row r="28" spans="1:20" ht="18.75" customHeight="1" x14ac:dyDescent="0.3">
      <c r="A28" s="150"/>
      <c r="B28" s="150"/>
      <c r="C28" s="150"/>
      <c r="D28" s="273"/>
      <c r="E28" s="41"/>
      <c r="F28" s="280"/>
      <c r="G28" s="280"/>
      <c r="H28" s="280"/>
      <c r="L28" s="164"/>
      <c r="M28" s="164"/>
      <c r="N28" s="41"/>
      <c r="O28" s="41"/>
      <c r="P28" s="281"/>
    </row>
    <row r="29" spans="1:20" ht="18.75" customHeight="1" x14ac:dyDescent="0.3">
      <c r="A29" s="150"/>
      <c r="B29" s="150"/>
      <c r="C29" s="150"/>
      <c r="D29" s="273"/>
      <c r="E29" s="41"/>
      <c r="F29" s="280"/>
      <c r="G29" s="280"/>
      <c r="H29" s="280"/>
      <c r="L29" s="164"/>
      <c r="M29" s="164"/>
      <c r="N29" s="41"/>
      <c r="O29" s="41"/>
      <c r="P29" s="281"/>
    </row>
    <row r="30" spans="1:20" ht="18.75" customHeight="1" x14ac:dyDescent="0.3">
      <c r="A30" s="150"/>
      <c r="B30" s="150"/>
      <c r="C30" s="150"/>
      <c r="D30" s="273"/>
      <c r="E30" s="41"/>
      <c r="F30" s="280"/>
      <c r="G30" s="280"/>
      <c r="H30" s="280"/>
      <c r="L30" s="164"/>
      <c r="M30" s="164"/>
      <c r="N30" s="41"/>
      <c r="O30" s="41"/>
      <c r="P30" s="281"/>
    </row>
    <row r="31" spans="1:20" ht="17.25" customHeight="1" x14ac:dyDescent="0.3">
      <c r="A31" s="63">
        <v>2</v>
      </c>
      <c r="B31" s="64" t="s">
        <v>23</v>
      </c>
      <c r="C31" s="65"/>
      <c r="D31" s="66"/>
      <c r="E31" s="67"/>
      <c r="F31" s="68"/>
      <c r="G31" s="68"/>
      <c r="H31" s="68"/>
      <c r="I31" s="68"/>
      <c r="J31" s="68"/>
      <c r="K31" s="68"/>
      <c r="L31" s="68"/>
      <c r="M31" s="68"/>
      <c r="N31" s="69"/>
      <c r="O31" s="70"/>
      <c r="P31" s="230"/>
      <c r="Q31" s="68"/>
      <c r="S31" s="1" t="s">
        <v>333</v>
      </c>
    </row>
    <row r="32" spans="1:20" ht="21" customHeight="1" x14ac:dyDescent="0.3">
      <c r="A32" s="13"/>
      <c r="B32" s="14" t="s">
        <v>57</v>
      </c>
      <c r="C32" s="15" t="s">
        <v>22</v>
      </c>
      <c r="D32" s="26">
        <v>203.28</v>
      </c>
      <c r="E32" s="47" t="s">
        <v>40</v>
      </c>
      <c r="F32" s="19">
        <f>3%*D32</f>
        <v>6.0983999999999998</v>
      </c>
      <c r="G32" s="224">
        <f>3%*D32</f>
        <v>6.0983999999999998</v>
      </c>
      <c r="H32" s="19">
        <f t="shared" ref="H32" si="5">SUM(F32:G32)</f>
        <v>12.1968</v>
      </c>
      <c r="I32" s="19">
        <v>0</v>
      </c>
      <c r="J32" s="19">
        <v>0</v>
      </c>
      <c r="K32" s="19">
        <v>5</v>
      </c>
      <c r="L32" s="19">
        <v>6</v>
      </c>
      <c r="M32" s="20">
        <f t="shared" ref="M32:M39" si="6">SUM(I32:L32)</f>
        <v>11</v>
      </c>
      <c r="N32" s="37" t="s">
        <v>51</v>
      </c>
      <c r="O32" s="399" t="s">
        <v>674</v>
      </c>
      <c r="P32" s="231">
        <f t="shared" ref="P32:P39" si="7">G32*0.52*20%*19000000</f>
        <v>12050438.4</v>
      </c>
      <c r="Q32" s="16"/>
      <c r="S32" s="1" t="s">
        <v>659</v>
      </c>
      <c r="T32" s="1" t="s">
        <v>661</v>
      </c>
    </row>
    <row r="33" spans="1:20" ht="23.25" customHeight="1" x14ac:dyDescent="0.3">
      <c r="A33" s="54"/>
      <c r="B33" s="55"/>
      <c r="C33" s="56"/>
      <c r="D33" s="57"/>
      <c r="E33" s="47" t="s">
        <v>629</v>
      </c>
      <c r="F33" s="135">
        <f>4%*D32</f>
        <v>8.1311999999999998</v>
      </c>
      <c r="G33" s="224">
        <f>0%*D32</f>
        <v>0</v>
      </c>
      <c r="H33" s="135">
        <f t="shared" ref="H33:H36" si="8">SUM(F33:G33)</f>
        <v>8.1311999999999998</v>
      </c>
      <c r="I33" s="19"/>
      <c r="J33" s="19"/>
      <c r="K33" s="19"/>
      <c r="L33" s="19">
        <v>5</v>
      </c>
      <c r="M33" s="20">
        <f t="shared" si="6"/>
        <v>5</v>
      </c>
      <c r="N33" s="37"/>
      <c r="O33" s="401"/>
      <c r="P33" s="231">
        <f t="shared" si="7"/>
        <v>0</v>
      </c>
      <c r="Q33" s="16"/>
    </row>
    <row r="34" spans="1:20" ht="19.5" customHeight="1" x14ac:dyDescent="0.3">
      <c r="A34" s="54"/>
      <c r="B34" s="55"/>
      <c r="C34" s="56"/>
      <c r="D34" s="57"/>
      <c r="E34" s="47" t="s">
        <v>669</v>
      </c>
      <c r="F34" s="19">
        <f>3%*D32</f>
        <v>6.0983999999999998</v>
      </c>
      <c r="G34" s="224">
        <f>3%*D32</f>
        <v>6.0983999999999998</v>
      </c>
      <c r="H34" s="135">
        <f>F34+G34</f>
        <v>12.1968</v>
      </c>
      <c r="I34" s="19"/>
      <c r="J34" s="19"/>
      <c r="K34" s="19"/>
      <c r="L34" s="19"/>
      <c r="M34" s="20"/>
      <c r="N34" s="37"/>
      <c r="O34" s="401"/>
      <c r="P34" s="231">
        <f t="shared" si="7"/>
        <v>12050438.4</v>
      </c>
      <c r="Q34" s="16"/>
    </row>
    <row r="35" spans="1:20" ht="20.25" customHeight="1" x14ac:dyDescent="0.3">
      <c r="A35" s="54"/>
      <c r="B35" s="55" t="s">
        <v>58</v>
      </c>
      <c r="C35" s="56" t="s">
        <v>42</v>
      </c>
      <c r="D35" s="57">
        <v>57</v>
      </c>
      <c r="E35" s="47" t="s">
        <v>40</v>
      </c>
      <c r="F35" s="19">
        <f>15%*D35</f>
        <v>8.5499999999999989</v>
      </c>
      <c r="G35" s="224">
        <f>3%*D35</f>
        <v>1.71</v>
      </c>
      <c r="H35" s="135">
        <f t="shared" si="8"/>
        <v>10.259999999999998</v>
      </c>
      <c r="I35" s="19">
        <v>0</v>
      </c>
      <c r="J35" s="19"/>
      <c r="K35" s="19">
        <v>4</v>
      </c>
      <c r="L35" s="19">
        <v>3</v>
      </c>
      <c r="M35" s="20">
        <f t="shared" si="6"/>
        <v>7</v>
      </c>
      <c r="N35" s="37"/>
      <c r="O35" s="400"/>
      <c r="P35" s="231">
        <f t="shared" si="7"/>
        <v>3378960</v>
      </c>
      <c r="Q35" s="16"/>
      <c r="S35" s="217" t="s">
        <v>660</v>
      </c>
      <c r="T35" s="1" t="s">
        <v>334</v>
      </c>
    </row>
    <row r="36" spans="1:20" ht="21" customHeight="1" x14ac:dyDescent="0.3">
      <c r="A36" s="54"/>
      <c r="B36" s="55"/>
      <c r="C36" s="56"/>
      <c r="D36" s="57"/>
      <c r="E36" s="47" t="s">
        <v>669</v>
      </c>
      <c r="F36" s="79">
        <f>3%*D35</f>
        <v>1.71</v>
      </c>
      <c r="G36" s="224">
        <f>2%*D35</f>
        <v>1.1400000000000001</v>
      </c>
      <c r="H36" s="135">
        <f t="shared" si="8"/>
        <v>2.85</v>
      </c>
      <c r="I36" s="19"/>
      <c r="J36" s="19"/>
      <c r="K36" s="19"/>
      <c r="L36" s="19"/>
      <c r="M36" s="20"/>
      <c r="N36" s="37"/>
      <c r="O36" s="259"/>
      <c r="P36" s="231">
        <f t="shared" si="7"/>
        <v>2252640.0000000005</v>
      </c>
      <c r="Q36" s="16"/>
      <c r="S36" s="217"/>
    </row>
    <row r="37" spans="1:20" ht="21" customHeight="1" x14ac:dyDescent="0.3">
      <c r="A37" s="13"/>
      <c r="B37" s="14"/>
      <c r="C37" s="15"/>
      <c r="D37" s="26"/>
      <c r="E37" s="258" t="s">
        <v>670</v>
      </c>
      <c r="F37" s="135">
        <f>3%*D35</f>
        <v>1.71</v>
      </c>
      <c r="G37" s="135">
        <f>4%*D35</f>
        <v>2.2800000000000002</v>
      </c>
      <c r="H37" s="135">
        <f>F37+G37</f>
        <v>3.99</v>
      </c>
      <c r="I37" s="19">
        <v>0</v>
      </c>
      <c r="J37" s="19"/>
      <c r="K37" s="19">
        <v>2</v>
      </c>
      <c r="L37" s="19">
        <v>3</v>
      </c>
      <c r="M37" s="20">
        <f t="shared" si="6"/>
        <v>5</v>
      </c>
      <c r="N37" s="37"/>
      <c r="O37" s="259"/>
      <c r="P37" s="231">
        <f t="shared" si="7"/>
        <v>4505280.0000000009</v>
      </c>
      <c r="Q37" s="16"/>
    </row>
    <row r="38" spans="1:20" ht="21.75" customHeight="1" x14ac:dyDescent="0.3">
      <c r="A38" s="54"/>
      <c r="B38" s="55" t="s">
        <v>59</v>
      </c>
      <c r="C38" s="56" t="s">
        <v>21</v>
      </c>
      <c r="D38" s="57">
        <v>72.94</v>
      </c>
      <c r="E38" s="47" t="s">
        <v>40</v>
      </c>
      <c r="F38" s="19">
        <f>6%*D38</f>
        <v>4.3763999999999994</v>
      </c>
      <c r="G38" s="224">
        <f>3%*D38</f>
        <v>2.1881999999999997</v>
      </c>
      <c r="H38" s="135">
        <f>F38+G38</f>
        <v>6.5645999999999987</v>
      </c>
      <c r="I38" s="19">
        <v>0</v>
      </c>
      <c r="J38" s="19">
        <v>0</v>
      </c>
      <c r="K38" s="19">
        <v>1</v>
      </c>
      <c r="L38" s="19">
        <v>4</v>
      </c>
      <c r="M38" s="20">
        <f t="shared" si="6"/>
        <v>5</v>
      </c>
      <c r="N38" s="95"/>
      <c r="O38" s="260"/>
      <c r="P38" s="231">
        <f t="shared" si="7"/>
        <v>4323883.2</v>
      </c>
      <c r="Q38" s="87"/>
    </row>
    <row r="39" spans="1:20" ht="21.75" customHeight="1" x14ac:dyDescent="0.3">
      <c r="A39" s="54"/>
      <c r="B39" s="55"/>
      <c r="C39" s="56"/>
      <c r="D39" s="57"/>
      <c r="E39" s="47" t="s">
        <v>669</v>
      </c>
      <c r="F39" s="19">
        <f>3%*D38</f>
        <v>2.1881999999999997</v>
      </c>
      <c r="G39" s="224">
        <f>2%*D38</f>
        <v>1.4587999999999999</v>
      </c>
      <c r="H39" s="135">
        <f>F39+G39</f>
        <v>3.6469999999999994</v>
      </c>
      <c r="I39" s="19">
        <v>0</v>
      </c>
      <c r="J39" s="19">
        <v>0</v>
      </c>
      <c r="K39" s="19">
        <v>0</v>
      </c>
      <c r="L39" s="19">
        <v>3</v>
      </c>
      <c r="M39" s="20">
        <f t="shared" si="6"/>
        <v>3</v>
      </c>
      <c r="N39" s="95"/>
      <c r="O39" s="260"/>
      <c r="P39" s="231">
        <f t="shared" si="7"/>
        <v>2882588.8</v>
      </c>
      <c r="Q39" s="87"/>
    </row>
    <row r="40" spans="1:20" ht="22.5" customHeight="1" x14ac:dyDescent="0.3">
      <c r="A40" s="89"/>
      <c r="B40" s="415" t="s">
        <v>326</v>
      </c>
      <c r="C40" s="416"/>
      <c r="D40" s="138">
        <f>SUM(D31:D39)</f>
        <v>333.21999999999997</v>
      </c>
      <c r="E40" s="242"/>
      <c r="F40" s="140">
        <f t="shared" ref="F40:K40" si="9">SUM(F31:F39)</f>
        <v>38.8626</v>
      </c>
      <c r="G40" s="140">
        <f t="shared" si="9"/>
        <v>20.973800000000001</v>
      </c>
      <c r="H40" s="140">
        <f t="shared" si="9"/>
        <v>59.836399999999998</v>
      </c>
      <c r="I40" s="140">
        <f t="shared" si="9"/>
        <v>0</v>
      </c>
      <c r="J40" s="140">
        <f t="shared" si="9"/>
        <v>0</v>
      </c>
      <c r="K40" s="140">
        <f t="shared" si="9"/>
        <v>12</v>
      </c>
      <c r="L40" s="140">
        <f>SUM(L32:L39)</f>
        <v>24</v>
      </c>
      <c r="M40" s="140">
        <f>SUM(M31:M39)</f>
        <v>36</v>
      </c>
      <c r="N40" s="243"/>
      <c r="O40" s="244"/>
      <c r="P40" s="245">
        <f>SUM(P31:P39)</f>
        <v>41444228.800000004</v>
      </c>
      <c r="Q40" s="246"/>
    </row>
    <row r="41" spans="1:20" ht="14.25" customHeight="1" x14ac:dyDescent="0.3">
      <c r="A41" s="63">
        <v>3</v>
      </c>
      <c r="B41" s="64" t="s">
        <v>19</v>
      </c>
      <c r="C41" s="65"/>
      <c r="D41" s="66"/>
      <c r="E41" s="67"/>
      <c r="F41" s="82"/>
      <c r="G41" s="82"/>
      <c r="H41" s="82"/>
      <c r="I41" s="82"/>
      <c r="J41" s="82"/>
      <c r="K41" s="82"/>
      <c r="L41" s="82"/>
      <c r="M41" s="82"/>
      <c r="N41" s="69"/>
      <c r="O41" s="112"/>
      <c r="P41" s="233"/>
      <c r="Q41" s="68"/>
    </row>
    <row r="42" spans="1:20" ht="22.5" customHeight="1" x14ac:dyDescent="0.3">
      <c r="A42" s="13"/>
      <c r="B42" s="14" t="s">
        <v>57</v>
      </c>
      <c r="C42" s="15" t="s">
        <v>24</v>
      </c>
      <c r="D42" s="26">
        <f>1347+481.9+4</f>
        <v>1832.9</v>
      </c>
      <c r="E42" s="50" t="s">
        <v>52</v>
      </c>
      <c r="F42" s="19">
        <f>6%*D42</f>
        <v>109.974</v>
      </c>
      <c r="G42" s="26">
        <f>29%*D42</f>
        <v>531.54099999999994</v>
      </c>
      <c r="H42" s="26">
        <f>SUM(F42:G42)</f>
        <v>641.51499999999999</v>
      </c>
      <c r="I42" s="19">
        <v>0</v>
      </c>
      <c r="J42" s="19"/>
      <c r="K42" s="19">
        <v>20</v>
      </c>
      <c r="L42" s="19">
        <v>9</v>
      </c>
      <c r="M42" s="19">
        <f>SUM(I42:L42)</f>
        <v>29</v>
      </c>
      <c r="N42" s="35">
        <v>1</v>
      </c>
      <c r="O42" s="401" t="s">
        <v>677</v>
      </c>
      <c r="P42" s="234">
        <f t="shared" ref="P42:P71" si="10">G42*0.815*26%*3500000</f>
        <v>394217382.64999998</v>
      </c>
      <c r="Q42" s="16"/>
    </row>
    <row r="43" spans="1:20" ht="21" customHeight="1" x14ac:dyDescent="0.3">
      <c r="A43" s="13"/>
      <c r="B43" s="14"/>
      <c r="C43" s="15"/>
      <c r="D43" s="26"/>
      <c r="E43" s="47" t="s">
        <v>624</v>
      </c>
      <c r="F43" s="19">
        <f>7%*D42</f>
        <v>128.30300000000003</v>
      </c>
      <c r="G43" s="26">
        <f>2%*D42</f>
        <v>36.658000000000001</v>
      </c>
      <c r="H43" s="26">
        <f>F43+G43</f>
        <v>164.96100000000001</v>
      </c>
      <c r="I43" s="19">
        <v>0</v>
      </c>
      <c r="J43" s="19"/>
      <c r="K43" s="19">
        <v>0</v>
      </c>
      <c r="L43" s="19">
        <v>8</v>
      </c>
      <c r="M43" s="19">
        <f>SUM(I43:L43)</f>
        <v>8</v>
      </c>
      <c r="N43" s="35"/>
      <c r="O43" s="401"/>
      <c r="P43" s="234">
        <f t="shared" si="10"/>
        <v>27187405.699999999</v>
      </c>
      <c r="Q43" s="16"/>
    </row>
    <row r="44" spans="1:20" ht="21.75" customHeight="1" x14ac:dyDescent="0.3">
      <c r="A44" s="13"/>
      <c r="B44" s="14" t="s">
        <v>58</v>
      </c>
      <c r="C44" s="15" t="s">
        <v>25</v>
      </c>
      <c r="D44" s="26">
        <f>1378+343.2+4</f>
        <v>1725.2</v>
      </c>
      <c r="E44" s="50" t="s">
        <v>52</v>
      </c>
      <c r="F44" s="19">
        <f>7%*D44</f>
        <v>120.76400000000001</v>
      </c>
      <c r="G44" s="26">
        <f>10%*D44</f>
        <v>172.52</v>
      </c>
      <c r="H44" s="26">
        <f t="shared" ref="H44:H71" si="11">SUM(F44:G44)</f>
        <v>293.28399999999999</v>
      </c>
      <c r="I44" s="19">
        <v>0</v>
      </c>
      <c r="J44" s="19"/>
      <c r="K44" s="19">
        <v>5</v>
      </c>
      <c r="L44" s="19">
        <v>6</v>
      </c>
      <c r="M44" s="19">
        <f t="shared" ref="M44:M71" si="12">SUM(I44:L44)</f>
        <v>11</v>
      </c>
      <c r="N44" s="35"/>
      <c r="O44" s="401"/>
      <c r="P44" s="234">
        <f t="shared" si="10"/>
        <v>127949458.00000001</v>
      </c>
      <c r="Q44" s="16"/>
    </row>
    <row r="45" spans="1:20" ht="21" customHeight="1" x14ac:dyDescent="0.3">
      <c r="A45" s="13"/>
      <c r="B45" s="14" t="s">
        <v>59</v>
      </c>
      <c r="C45" s="15" t="s">
        <v>26</v>
      </c>
      <c r="D45" s="26">
        <f>1032+337+10</f>
        <v>1379</v>
      </c>
      <c r="E45" s="50" t="s">
        <v>52</v>
      </c>
      <c r="F45" s="19">
        <f>3%*D45</f>
        <v>41.37</v>
      </c>
      <c r="G45" s="26">
        <f>32%*D45</f>
        <v>441.28000000000003</v>
      </c>
      <c r="H45" s="26">
        <f t="shared" si="11"/>
        <v>482.65000000000003</v>
      </c>
      <c r="I45" s="19"/>
      <c r="J45" s="19"/>
      <c r="K45" s="19"/>
      <c r="L45" s="19">
        <v>4</v>
      </c>
      <c r="M45" s="19">
        <f t="shared" si="12"/>
        <v>4</v>
      </c>
      <c r="N45" s="35"/>
      <c r="O45" s="401"/>
      <c r="P45" s="234">
        <f t="shared" si="10"/>
        <v>327275312</v>
      </c>
      <c r="Q45" s="16"/>
      <c r="T45" s="1">
        <f>1379/16</f>
        <v>86.1875</v>
      </c>
    </row>
    <row r="46" spans="1:20" ht="16.5" customHeight="1" x14ac:dyDescent="0.3">
      <c r="A46" s="13"/>
      <c r="B46" s="14"/>
      <c r="C46" s="15"/>
      <c r="D46" s="26"/>
      <c r="E46" s="47" t="s">
        <v>624</v>
      </c>
      <c r="F46" s="19">
        <f>4%*D45</f>
        <v>55.160000000000004</v>
      </c>
      <c r="G46" s="26">
        <f>2%*D45</f>
        <v>27.580000000000002</v>
      </c>
      <c r="H46" s="26">
        <f>F46+G46</f>
        <v>82.740000000000009</v>
      </c>
      <c r="I46" s="19">
        <v>0</v>
      </c>
      <c r="J46" s="19"/>
      <c r="K46" s="19"/>
      <c r="L46" s="19">
        <v>5</v>
      </c>
      <c r="M46" s="19">
        <f>SUM(I46:L46)</f>
        <v>5</v>
      </c>
      <c r="N46" s="35"/>
      <c r="O46" s="401"/>
      <c r="P46" s="234">
        <f t="shared" si="10"/>
        <v>20454707</v>
      </c>
      <c r="Q46" s="16"/>
    </row>
    <row r="47" spans="1:20" ht="15" customHeight="1" x14ac:dyDescent="0.3">
      <c r="A47" s="13"/>
      <c r="B47" s="14" t="s">
        <v>60</v>
      </c>
      <c r="C47" s="15" t="s">
        <v>55</v>
      </c>
      <c r="D47" s="26">
        <f>312.6+146.93</f>
        <v>459.53000000000003</v>
      </c>
      <c r="E47" s="50" t="s">
        <v>52</v>
      </c>
      <c r="F47" s="19">
        <f>5%*D47</f>
        <v>22.976500000000001</v>
      </c>
      <c r="G47" s="26">
        <f>9%*D47</f>
        <v>41.357700000000001</v>
      </c>
      <c r="H47" s="26">
        <f t="shared" si="11"/>
        <v>64.33420000000001</v>
      </c>
      <c r="I47" s="19">
        <v>0</v>
      </c>
      <c r="J47" s="19">
        <v>0</v>
      </c>
      <c r="K47" s="19">
        <v>5</v>
      </c>
      <c r="L47" s="19">
        <v>8</v>
      </c>
      <c r="M47" s="19">
        <f t="shared" si="12"/>
        <v>13</v>
      </c>
      <c r="N47" s="35"/>
      <c r="O47" s="401"/>
      <c r="P47" s="234">
        <f t="shared" si="10"/>
        <v>30672938.205000002</v>
      </c>
      <c r="Q47" s="16"/>
    </row>
    <row r="48" spans="1:20" ht="16.5" customHeight="1" x14ac:dyDescent="0.3">
      <c r="A48" s="13"/>
      <c r="B48" s="14"/>
      <c r="C48" s="15"/>
      <c r="D48" s="26"/>
      <c r="E48" s="47" t="s">
        <v>235</v>
      </c>
      <c r="F48" s="26">
        <f>5%*D47</f>
        <v>22.976500000000001</v>
      </c>
      <c r="G48" s="26">
        <f>10%*D47</f>
        <v>45.953000000000003</v>
      </c>
      <c r="H48" s="26">
        <f>SUM(F48:G48)</f>
        <v>68.929500000000004</v>
      </c>
      <c r="I48" s="19"/>
      <c r="J48" s="19"/>
      <c r="K48" s="19"/>
      <c r="L48" s="19">
        <v>5</v>
      </c>
      <c r="M48" s="19">
        <f>SUM(I48:L48)</f>
        <v>5</v>
      </c>
      <c r="N48" s="35"/>
      <c r="O48" s="400"/>
      <c r="P48" s="234">
        <f t="shared" si="10"/>
        <v>34081042.450000003</v>
      </c>
      <c r="Q48" s="16"/>
    </row>
    <row r="49" spans="1:17" ht="18.75" customHeight="1" x14ac:dyDescent="0.3">
      <c r="A49" s="13"/>
      <c r="B49" s="14" t="s">
        <v>61</v>
      </c>
      <c r="C49" s="15" t="s">
        <v>27</v>
      </c>
      <c r="D49" s="26">
        <f>650.7+162.25</f>
        <v>812.95</v>
      </c>
      <c r="E49" s="50" t="s">
        <v>52</v>
      </c>
      <c r="F49" s="19">
        <f>8%*D49</f>
        <v>65.036000000000001</v>
      </c>
      <c r="G49" s="26">
        <f>20%*D49</f>
        <v>162.59000000000003</v>
      </c>
      <c r="H49" s="26">
        <f t="shared" si="11"/>
        <v>227.62600000000003</v>
      </c>
      <c r="I49" s="19">
        <v>0</v>
      </c>
      <c r="J49" s="19">
        <v>0</v>
      </c>
      <c r="K49" s="19">
        <v>0</v>
      </c>
      <c r="L49" s="19">
        <v>6</v>
      </c>
      <c r="M49" s="19">
        <f t="shared" si="12"/>
        <v>6</v>
      </c>
      <c r="N49" s="35"/>
      <c r="O49" s="36"/>
      <c r="P49" s="234">
        <f t="shared" si="10"/>
        <v>120584873.5</v>
      </c>
      <c r="Q49" s="16"/>
    </row>
    <row r="50" spans="1:17" ht="16.5" customHeight="1" x14ac:dyDescent="0.3">
      <c r="A50" s="13"/>
      <c r="B50" s="14" t="s">
        <v>62</v>
      </c>
      <c r="C50" s="15" t="s">
        <v>28</v>
      </c>
      <c r="D50" s="26">
        <f>876+634.6+5</f>
        <v>1515.6</v>
      </c>
      <c r="E50" s="50" t="s">
        <v>52</v>
      </c>
      <c r="F50" s="19">
        <f>7%*D50</f>
        <v>106.092</v>
      </c>
      <c r="G50" s="26">
        <f>8%*D50</f>
        <v>121.24799999999999</v>
      </c>
      <c r="H50" s="26">
        <f t="shared" si="11"/>
        <v>227.33999999999997</v>
      </c>
      <c r="I50" s="19">
        <v>0</v>
      </c>
      <c r="J50" s="19">
        <v>0</v>
      </c>
      <c r="K50" s="19"/>
      <c r="L50" s="19">
        <v>6</v>
      </c>
      <c r="M50" s="19">
        <f t="shared" si="12"/>
        <v>6</v>
      </c>
      <c r="N50" s="35">
        <v>2</v>
      </c>
      <c r="O50" s="399" t="s">
        <v>643</v>
      </c>
      <c r="P50" s="234">
        <f t="shared" si="10"/>
        <v>89923579.199999988</v>
      </c>
      <c r="Q50" s="16"/>
    </row>
    <row r="51" spans="1:17" ht="16.5" customHeight="1" x14ac:dyDescent="0.3">
      <c r="A51" s="13"/>
      <c r="B51" s="14" t="s">
        <v>63</v>
      </c>
      <c r="C51" s="15" t="s">
        <v>29</v>
      </c>
      <c r="D51" s="26">
        <f>1576+278.5</f>
        <v>1854.5</v>
      </c>
      <c r="E51" s="50" t="s">
        <v>52</v>
      </c>
      <c r="F51" s="19">
        <f>3%*D51</f>
        <v>55.634999999999998</v>
      </c>
      <c r="G51" s="26">
        <f>8%*D51</f>
        <v>148.36000000000001</v>
      </c>
      <c r="H51" s="26">
        <f t="shared" si="11"/>
        <v>203.995</v>
      </c>
      <c r="I51" s="19">
        <v>0</v>
      </c>
      <c r="J51" s="19">
        <v>0</v>
      </c>
      <c r="K51" s="19"/>
      <c r="L51" s="19">
        <v>7</v>
      </c>
      <c r="M51" s="19">
        <f t="shared" si="12"/>
        <v>7</v>
      </c>
      <c r="N51" s="35"/>
      <c r="O51" s="401"/>
      <c r="P51" s="234">
        <f t="shared" si="10"/>
        <v>110031194.00000001</v>
      </c>
      <c r="Q51" s="16"/>
    </row>
    <row r="52" spans="1:17" ht="17.25" customHeight="1" x14ac:dyDescent="0.3">
      <c r="A52" s="13"/>
      <c r="B52" s="14"/>
      <c r="C52" s="15"/>
      <c r="D52" s="26"/>
      <c r="E52" s="47" t="s">
        <v>234</v>
      </c>
      <c r="F52" s="19">
        <f>7%*D51</f>
        <v>129.81500000000003</v>
      </c>
      <c r="G52" s="26">
        <f>10%*D50</f>
        <v>151.56</v>
      </c>
      <c r="H52" s="26">
        <f>F52+G52</f>
        <v>281.375</v>
      </c>
      <c r="I52" s="19"/>
      <c r="J52" s="19">
        <v>0</v>
      </c>
      <c r="K52" s="19">
        <v>0</v>
      </c>
      <c r="L52" s="19">
        <v>5</v>
      </c>
      <c r="M52" s="19">
        <f t="shared" ref="M52" si="13">SUM(I52:L52)</f>
        <v>5</v>
      </c>
      <c r="N52" s="35"/>
      <c r="O52" s="401"/>
      <c r="P52" s="234">
        <f t="shared" si="10"/>
        <v>112404474</v>
      </c>
      <c r="Q52" s="16"/>
    </row>
    <row r="53" spans="1:17" ht="16.5" customHeight="1" x14ac:dyDescent="0.3">
      <c r="A53" s="13"/>
      <c r="B53" s="14" t="s">
        <v>64</v>
      </c>
      <c r="C53" s="15" t="s">
        <v>56</v>
      </c>
      <c r="D53" s="26">
        <f>274.6+53.7+42</f>
        <v>370.3</v>
      </c>
      <c r="E53" s="50" t="s">
        <v>52</v>
      </c>
      <c r="F53" s="19">
        <f>7%*D53</f>
        <v>25.921000000000003</v>
      </c>
      <c r="G53" s="26">
        <f>16%*D53</f>
        <v>59.248000000000005</v>
      </c>
      <c r="H53" s="26">
        <f t="shared" si="11"/>
        <v>85.169000000000011</v>
      </c>
      <c r="I53" s="19">
        <v>0</v>
      </c>
      <c r="J53" s="19"/>
      <c r="K53" s="19"/>
      <c r="L53" s="19">
        <v>0</v>
      </c>
      <c r="M53" s="19">
        <f t="shared" si="12"/>
        <v>0</v>
      </c>
      <c r="N53" s="35"/>
      <c r="O53" s="401"/>
      <c r="P53" s="234">
        <f t="shared" si="10"/>
        <v>43941279.200000003</v>
      </c>
      <c r="Q53" s="16"/>
    </row>
    <row r="54" spans="1:17" ht="18" customHeight="1" x14ac:dyDescent="0.3">
      <c r="A54" s="13"/>
      <c r="B54" s="14" t="s">
        <v>65</v>
      </c>
      <c r="C54" s="15" t="s">
        <v>30</v>
      </c>
      <c r="D54" s="26">
        <f>1500.5+566.7</f>
        <v>2067.1999999999998</v>
      </c>
      <c r="E54" s="50" t="s">
        <v>52</v>
      </c>
      <c r="F54" s="19">
        <f>5%*D54</f>
        <v>103.36</v>
      </c>
      <c r="G54" s="26">
        <f>16%*D54</f>
        <v>330.75199999999995</v>
      </c>
      <c r="H54" s="26">
        <f t="shared" si="11"/>
        <v>434.11199999999997</v>
      </c>
      <c r="I54" s="19">
        <v>0</v>
      </c>
      <c r="J54" s="19">
        <v>0</v>
      </c>
      <c r="K54" s="19">
        <v>0</v>
      </c>
      <c r="L54" s="19">
        <v>6</v>
      </c>
      <c r="M54" s="19">
        <f t="shared" si="12"/>
        <v>6</v>
      </c>
      <c r="N54" s="35"/>
      <c r="O54" s="401"/>
      <c r="P54" s="234">
        <f t="shared" si="10"/>
        <v>245302220.79999998</v>
      </c>
      <c r="Q54" s="16"/>
    </row>
    <row r="55" spans="1:17" ht="18" customHeight="1" x14ac:dyDescent="0.3">
      <c r="A55" s="13"/>
      <c r="B55" s="14"/>
      <c r="C55" s="15"/>
      <c r="D55" s="26"/>
      <c r="E55" s="47" t="s">
        <v>624</v>
      </c>
      <c r="F55" s="19">
        <f>10%*D54</f>
        <v>206.72</v>
      </c>
      <c r="G55" s="26">
        <f>9%*D54</f>
        <v>186.04799999999997</v>
      </c>
      <c r="H55" s="26">
        <f>F55+G55</f>
        <v>392.76799999999997</v>
      </c>
      <c r="I55" s="19">
        <v>0</v>
      </c>
      <c r="J55" s="19"/>
      <c r="K55" s="19"/>
      <c r="L55" s="19">
        <v>4</v>
      </c>
      <c r="M55" s="19">
        <f>SUM(I55:L55)</f>
        <v>4</v>
      </c>
      <c r="N55" s="35"/>
      <c r="O55" s="401"/>
      <c r="P55" s="234">
        <f t="shared" si="10"/>
        <v>137982499.19999996</v>
      </c>
      <c r="Q55" s="16"/>
    </row>
    <row r="56" spans="1:17" ht="18.75" customHeight="1" x14ac:dyDescent="0.3">
      <c r="A56" s="13"/>
      <c r="B56" s="14" t="s">
        <v>66</v>
      </c>
      <c r="C56" s="15" t="s">
        <v>31</v>
      </c>
      <c r="D56" s="26">
        <f>1214.5+386.5</f>
        <v>1601</v>
      </c>
      <c r="E56" s="50" t="s">
        <v>52</v>
      </c>
      <c r="F56" s="19">
        <f>6%*D56</f>
        <v>96.06</v>
      </c>
      <c r="G56" s="26">
        <f>11%*D56</f>
        <v>176.11</v>
      </c>
      <c r="H56" s="26">
        <f t="shared" si="11"/>
        <v>272.17</v>
      </c>
      <c r="I56" s="19">
        <v>0</v>
      </c>
      <c r="J56" s="19">
        <v>0</v>
      </c>
      <c r="K56" s="19">
        <v>0</v>
      </c>
      <c r="L56" s="19">
        <v>0</v>
      </c>
      <c r="M56" s="19">
        <f t="shared" si="12"/>
        <v>0</v>
      </c>
      <c r="N56" s="35"/>
      <c r="O56" s="401"/>
      <c r="P56" s="234">
        <f t="shared" si="10"/>
        <v>130611981.5</v>
      </c>
      <c r="Q56" s="16"/>
    </row>
    <row r="57" spans="1:17" ht="21" customHeight="1" x14ac:dyDescent="0.3">
      <c r="A57" s="13"/>
      <c r="B57" s="14" t="s">
        <v>67</v>
      </c>
      <c r="C57" s="15" t="s">
        <v>32</v>
      </c>
      <c r="D57" s="26">
        <f>998.9+79.5</f>
        <v>1078.4000000000001</v>
      </c>
      <c r="E57" s="50" t="s">
        <v>52</v>
      </c>
      <c r="F57" s="19">
        <f>8%*D57</f>
        <v>86.272000000000006</v>
      </c>
      <c r="G57" s="26">
        <f>11%*D57</f>
        <v>118.62400000000001</v>
      </c>
      <c r="H57" s="26">
        <f t="shared" si="11"/>
        <v>204.89600000000002</v>
      </c>
      <c r="I57" s="19">
        <v>0</v>
      </c>
      <c r="J57" s="19">
        <v>0</v>
      </c>
      <c r="K57" s="19">
        <v>0</v>
      </c>
      <c r="L57" s="19">
        <v>0</v>
      </c>
      <c r="M57" s="19">
        <f t="shared" si="12"/>
        <v>0</v>
      </c>
      <c r="N57" s="35"/>
      <c r="O57" s="401"/>
      <c r="P57" s="234">
        <f t="shared" si="10"/>
        <v>87977489.600000009</v>
      </c>
      <c r="Q57" s="16"/>
    </row>
    <row r="58" spans="1:17" ht="18.75" customHeight="1" x14ac:dyDescent="0.3">
      <c r="A58" s="13"/>
      <c r="B58" s="14" t="s">
        <v>68</v>
      </c>
      <c r="C58" s="15" t="s">
        <v>33</v>
      </c>
      <c r="D58" s="26">
        <f>1314+57.5</f>
        <v>1371.5</v>
      </c>
      <c r="E58" s="50" t="s">
        <v>52</v>
      </c>
      <c r="F58" s="19">
        <f>10%*D58</f>
        <v>137.15</v>
      </c>
      <c r="G58" s="26">
        <f>12%*D58</f>
        <v>164.57999999999998</v>
      </c>
      <c r="H58" s="26">
        <f t="shared" si="11"/>
        <v>301.73</v>
      </c>
      <c r="I58" s="19">
        <v>0</v>
      </c>
      <c r="J58" s="19"/>
      <c r="K58" s="19">
        <v>0</v>
      </c>
      <c r="L58" s="19">
        <v>0</v>
      </c>
      <c r="M58" s="19">
        <f t="shared" si="12"/>
        <v>0</v>
      </c>
      <c r="N58" s="35"/>
      <c r="O58" s="401"/>
      <c r="P58" s="234">
        <f t="shared" si="10"/>
        <v>122060756.99999997</v>
      </c>
      <c r="Q58" s="16"/>
    </row>
    <row r="59" spans="1:17" ht="19.5" customHeight="1" x14ac:dyDescent="0.3">
      <c r="A59" s="13"/>
      <c r="B59" s="14" t="s">
        <v>69</v>
      </c>
      <c r="C59" s="15" t="s">
        <v>34</v>
      </c>
      <c r="D59" s="26">
        <f>1892.1+376</f>
        <v>2268.1</v>
      </c>
      <c r="E59" s="50" t="s">
        <v>52</v>
      </c>
      <c r="F59" s="19">
        <f>4%*D59</f>
        <v>90.724000000000004</v>
      </c>
      <c r="G59" s="26">
        <f>21%*D59</f>
        <v>476.30099999999999</v>
      </c>
      <c r="H59" s="26">
        <f t="shared" si="11"/>
        <v>567.02499999999998</v>
      </c>
      <c r="I59" s="19">
        <v>0</v>
      </c>
      <c r="J59" s="19"/>
      <c r="K59" s="19"/>
      <c r="L59" s="19">
        <v>11</v>
      </c>
      <c r="M59" s="19">
        <f t="shared" si="12"/>
        <v>11</v>
      </c>
      <c r="N59" s="35"/>
      <c r="O59" s="401"/>
      <c r="P59" s="234">
        <f t="shared" si="10"/>
        <v>353248636.64999992</v>
      </c>
      <c r="Q59" s="16"/>
    </row>
    <row r="60" spans="1:17" ht="16.5" customHeight="1" x14ac:dyDescent="0.3">
      <c r="A60" s="13"/>
      <c r="B60" s="14" t="s">
        <v>70</v>
      </c>
      <c r="C60" s="15" t="s">
        <v>35</v>
      </c>
      <c r="D60" s="26">
        <f>1558+185.25</f>
        <v>1743.25</v>
      </c>
      <c r="E60" s="50" t="s">
        <v>52</v>
      </c>
      <c r="F60" s="19">
        <f>4%*D60</f>
        <v>69.73</v>
      </c>
      <c r="G60" s="26">
        <f>14%*D60</f>
        <v>244.05500000000004</v>
      </c>
      <c r="H60" s="26">
        <f t="shared" si="11"/>
        <v>313.78500000000003</v>
      </c>
      <c r="I60" s="19">
        <v>0</v>
      </c>
      <c r="J60" s="19">
        <v>0</v>
      </c>
      <c r="K60" s="19">
        <v>0</v>
      </c>
      <c r="L60" s="19">
        <v>0</v>
      </c>
      <c r="M60" s="19">
        <f t="shared" si="12"/>
        <v>0</v>
      </c>
      <c r="N60" s="35"/>
      <c r="O60" s="401"/>
      <c r="P60" s="234">
        <f t="shared" si="10"/>
        <v>181003390.75000003</v>
      </c>
      <c r="Q60" s="16"/>
    </row>
    <row r="61" spans="1:17" ht="17.25" customHeight="1" x14ac:dyDescent="0.3">
      <c r="A61" s="13"/>
      <c r="B61" s="14" t="s">
        <v>71</v>
      </c>
      <c r="C61" s="15" t="s">
        <v>21</v>
      </c>
      <c r="D61" s="26">
        <f>1972+130</f>
        <v>2102</v>
      </c>
      <c r="E61" s="50" t="s">
        <v>52</v>
      </c>
      <c r="F61" s="19">
        <f>4%*D61</f>
        <v>84.08</v>
      </c>
      <c r="G61" s="26">
        <f>12%*D61</f>
        <v>252.23999999999998</v>
      </c>
      <c r="H61" s="26">
        <f t="shared" si="11"/>
        <v>336.32</v>
      </c>
      <c r="I61" s="19">
        <v>0</v>
      </c>
      <c r="J61" s="19">
        <v>0</v>
      </c>
      <c r="K61" s="19">
        <v>0</v>
      </c>
      <c r="L61" s="19">
        <v>0</v>
      </c>
      <c r="M61" s="19">
        <f t="shared" si="12"/>
        <v>0</v>
      </c>
      <c r="N61" s="35"/>
      <c r="O61" s="401"/>
      <c r="P61" s="234">
        <f t="shared" si="10"/>
        <v>187073796</v>
      </c>
      <c r="Q61" s="16"/>
    </row>
    <row r="62" spans="1:17" ht="22.5" customHeight="1" x14ac:dyDescent="0.3">
      <c r="A62" s="13"/>
      <c r="B62" s="14" t="s">
        <v>72</v>
      </c>
      <c r="C62" s="15" t="s">
        <v>42</v>
      </c>
      <c r="D62" s="26">
        <f>773.1+303.8</f>
        <v>1076.9000000000001</v>
      </c>
      <c r="E62" s="50" t="s">
        <v>52</v>
      </c>
      <c r="F62" s="19">
        <f>5%*D62</f>
        <v>53.845000000000006</v>
      </c>
      <c r="G62" s="26">
        <f>15%*D62</f>
        <v>161.535</v>
      </c>
      <c r="H62" s="26">
        <f t="shared" si="11"/>
        <v>215.38</v>
      </c>
      <c r="I62" s="19">
        <v>0</v>
      </c>
      <c r="J62" s="19">
        <v>0</v>
      </c>
      <c r="K62" s="19">
        <v>0</v>
      </c>
      <c r="L62" s="19">
        <v>4</v>
      </c>
      <c r="M62" s="19">
        <f t="shared" si="12"/>
        <v>4</v>
      </c>
      <c r="N62" s="35"/>
      <c r="O62" s="400"/>
      <c r="P62" s="234">
        <f t="shared" si="10"/>
        <v>119802432.74999999</v>
      </c>
      <c r="Q62" s="16"/>
    </row>
    <row r="63" spans="1:17" ht="21" customHeight="1" x14ac:dyDescent="0.3">
      <c r="A63" s="13"/>
      <c r="B63" s="14" t="s">
        <v>73</v>
      </c>
      <c r="C63" s="15" t="s">
        <v>105</v>
      </c>
      <c r="D63" s="26">
        <f>153.8+8.7</f>
        <v>162.5</v>
      </c>
      <c r="E63" s="50" t="s">
        <v>52</v>
      </c>
      <c r="F63" s="19">
        <f>7%*D63</f>
        <v>11.375000000000002</v>
      </c>
      <c r="G63" s="26">
        <f>10%*D63</f>
        <v>16.25</v>
      </c>
      <c r="H63" s="26">
        <f t="shared" si="11"/>
        <v>27.625</v>
      </c>
      <c r="I63" s="19">
        <v>0</v>
      </c>
      <c r="J63" s="19">
        <v>0</v>
      </c>
      <c r="K63" s="19">
        <v>0</v>
      </c>
      <c r="L63" s="19">
        <v>7</v>
      </c>
      <c r="M63" s="19">
        <f t="shared" si="12"/>
        <v>7</v>
      </c>
      <c r="N63" s="35"/>
      <c r="O63" s="36"/>
      <c r="P63" s="234">
        <f t="shared" si="10"/>
        <v>12051812.499999998</v>
      </c>
      <c r="Q63" s="16"/>
    </row>
    <row r="64" spans="1:17" ht="20.25" customHeight="1" x14ac:dyDescent="0.3">
      <c r="A64" s="13"/>
      <c r="B64" s="14" t="s">
        <v>74</v>
      </c>
      <c r="C64" s="15" t="s">
        <v>110</v>
      </c>
      <c r="D64" s="26">
        <f>695+48.2</f>
        <v>743.2</v>
      </c>
      <c r="E64" s="50" t="s">
        <v>52</v>
      </c>
      <c r="F64" s="19">
        <f>10%*D64</f>
        <v>74.320000000000007</v>
      </c>
      <c r="G64" s="26">
        <f>15%*D64</f>
        <v>111.48</v>
      </c>
      <c r="H64" s="26">
        <f t="shared" si="11"/>
        <v>185.8</v>
      </c>
      <c r="I64" s="19">
        <v>0</v>
      </c>
      <c r="J64" s="19">
        <v>0</v>
      </c>
      <c r="K64" s="19">
        <v>0</v>
      </c>
      <c r="L64" s="19">
        <v>0</v>
      </c>
      <c r="M64" s="19">
        <f t="shared" si="12"/>
        <v>0</v>
      </c>
      <c r="N64" s="35">
        <v>3</v>
      </c>
      <c r="O64" s="399" t="s">
        <v>644</v>
      </c>
      <c r="P64" s="234">
        <f t="shared" si="10"/>
        <v>82679142</v>
      </c>
      <c r="Q64" s="16"/>
    </row>
    <row r="65" spans="1:19" ht="22.5" customHeight="1" x14ac:dyDescent="0.3">
      <c r="A65" s="13"/>
      <c r="B65" s="14" t="s">
        <v>75</v>
      </c>
      <c r="C65" s="15" t="s">
        <v>112</v>
      </c>
      <c r="D65" s="26">
        <f>375+14</f>
        <v>389</v>
      </c>
      <c r="E65" s="50" t="s">
        <v>52</v>
      </c>
      <c r="F65" s="19">
        <f>5%*D65</f>
        <v>19.450000000000003</v>
      </c>
      <c r="G65" s="26">
        <f>11%*D65</f>
        <v>42.79</v>
      </c>
      <c r="H65" s="26">
        <f t="shared" si="11"/>
        <v>62.24</v>
      </c>
      <c r="I65" s="19">
        <v>0</v>
      </c>
      <c r="J65" s="19">
        <v>0</v>
      </c>
      <c r="K65" s="19">
        <v>0</v>
      </c>
      <c r="L65" s="19">
        <v>0</v>
      </c>
      <c r="M65" s="19">
        <f t="shared" si="12"/>
        <v>0</v>
      </c>
      <c r="N65" s="35"/>
      <c r="O65" s="401"/>
      <c r="P65" s="234">
        <f t="shared" si="10"/>
        <v>31735203.499999996</v>
      </c>
      <c r="Q65" s="16"/>
    </row>
    <row r="66" spans="1:19" ht="18.75" customHeight="1" x14ac:dyDescent="0.3">
      <c r="A66" s="13"/>
      <c r="B66" s="14" t="s">
        <v>104</v>
      </c>
      <c r="C66" s="15" t="s">
        <v>114</v>
      </c>
      <c r="D66" s="26">
        <f>73.5</f>
        <v>73.5</v>
      </c>
      <c r="E66" s="50" t="s">
        <v>52</v>
      </c>
      <c r="F66" s="19">
        <f>9%*D66</f>
        <v>6.6149999999999993</v>
      </c>
      <c r="G66" s="26">
        <f>6%*D66</f>
        <v>4.41</v>
      </c>
      <c r="H66" s="26">
        <f t="shared" si="11"/>
        <v>11.024999999999999</v>
      </c>
      <c r="I66" s="19">
        <v>0</v>
      </c>
      <c r="J66" s="19">
        <v>0</v>
      </c>
      <c r="K66" s="19">
        <v>0</v>
      </c>
      <c r="L66" s="19">
        <v>8</v>
      </c>
      <c r="M66" s="19">
        <f t="shared" si="12"/>
        <v>8</v>
      </c>
      <c r="N66" s="35"/>
      <c r="O66" s="401"/>
      <c r="P66" s="234">
        <f t="shared" si="10"/>
        <v>3270676.5</v>
      </c>
      <c r="Q66" s="16"/>
    </row>
    <row r="67" spans="1:19" ht="21.75" customHeight="1" x14ac:dyDescent="0.3">
      <c r="A67" s="13"/>
      <c r="B67" s="14" t="s">
        <v>106</v>
      </c>
      <c r="C67" s="15" t="s">
        <v>22</v>
      </c>
      <c r="D67" s="26">
        <f>1184.3+105</f>
        <v>1289.3</v>
      </c>
      <c r="E67" s="50" t="s">
        <v>52</v>
      </c>
      <c r="F67" s="19">
        <f>8%*D67</f>
        <v>103.14400000000001</v>
      </c>
      <c r="G67" s="26">
        <f>12%*D67</f>
        <v>154.71599999999998</v>
      </c>
      <c r="H67" s="26">
        <f t="shared" si="11"/>
        <v>257.86</v>
      </c>
      <c r="I67" s="19">
        <v>0</v>
      </c>
      <c r="J67" s="19">
        <v>0</v>
      </c>
      <c r="K67" s="19">
        <v>10</v>
      </c>
      <c r="L67" s="19">
        <v>9</v>
      </c>
      <c r="M67" s="19">
        <f t="shared" si="12"/>
        <v>19</v>
      </c>
      <c r="N67" s="35"/>
      <c r="O67" s="401"/>
      <c r="P67" s="234">
        <f t="shared" si="10"/>
        <v>114745121.39999998</v>
      </c>
      <c r="Q67" s="16"/>
    </row>
    <row r="68" spans="1:19" ht="21" customHeight="1" x14ac:dyDescent="0.3">
      <c r="A68" s="13"/>
      <c r="B68" s="14" t="s">
        <v>108</v>
      </c>
      <c r="C68" s="15" t="s">
        <v>180</v>
      </c>
      <c r="D68" s="26">
        <f>134.8+5</f>
        <v>139.80000000000001</v>
      </c>
      <c r="E68" s="47" t="s">
        <v>52</v>
      </c>
      <c r="F68" s="19">
        <f>5%*D68</f>
        <v>6.9900000000000011</v>
      </c>
      <c r="G68" s="26">
        <f>16%*D68</f>
        <v>22.368000000000002</v>
      </c>
      <c r="H68" s="26">
        <f t="shared" si="11"/>
        <v>29.358000000000004</v>
      </c>
      <c r="I68" s="19">
        <v>0</v>
      </c>
      <c r="J68" s="19">
        <v>0</v>
      </c>
      <c r="K68" s="19">
        <v>0</v>
      </c>
      <c r="L68" s="19">
        <v>8</v>
      </c>
      <c r="M68" s="19">
        <f t="shared" si="12"/>
        <v>8</v>
      </c>
      <c r="N68" s="35"/>
      <c r="O68" s="401"/>
      <c r="P68" s="234">
        <f t="shared" si="10"/>
        <v>16589227.200000001</v>
      </c>
      <c r="Q68" s="16"/>
    </row>
    <row r="69" spans="1:19" ht="21.75" customHeight="1" x14ac:dyDescent="0.3">
      <c r="A69" s="13"/>
      <c r="B69" s="14" t="s">
        <v>109</v>
      </c>
      <c r="C69" s="15" t="s">
        <v>43</v>
      </c>
      <c r="D69" s="26">
        <f>1195+218.6</f>
        <v>1413.6</v>
      </c>
      <c r="E69" s="50" t="s">
        <v>52</v>
      </c>
      <c r="F69" s="19">
        <f>6%*D69</f>
        <v>84.815999999999988</v>
      </c>
      <c r="G69" s="26">
        <f>10%*D69</f>
        <v>141.35999999999999</v>
      </c>
      <c r="H69" s="26">
        <f t="shared" si="11"/>
        <v>226.17599999999999</v>
      </c>
      <c r="I69" s="19">
        <v>0</v>
      </c>
      <c r="J69" s="19">
        <v>0</v>
      </c>
      <c r="K69" s="19">
        <v>0</v>
      </c>
      <c r="L69" s="19">
        <v>0</v>
      </c>
      <c r="M69" s="19">
        <f t="shared" si="12"/>
        <v>0</v>
      </c>
      <c r="N69" s="35"/>
      <c r="O69" s="400"/>
      <c r="P69" s="234">
        <f t="shared" si="10"/>
        <v>104839644</v>
      </c>
      <c r="Q69" s="16"/>
    </row>
    <row r="70" spans="1:19" ht="21" customHeight="1" x14ac:dyDescent="0.3">
      <c r="A70" s="13"/>
      <c r="B70" s="14" t="s">
        <v>111</v>
      </c>
      <c r="C70" s="15" t="s">
        <v>44</v>
      </c>
      <c r="D70" s="26">
        <f>1400.35+129.1</f>
        <v>1529.4499999999998</v>
      </c>
      <c r="E70" s="50" t="s">
        <v>52</v>
      </c>
      <c r="F70" s="19">
        <f>6%*D70</f>
        <v>91.766999999999982</v>
      </c>
      <c r="G70" s="26">
        <f>11%*D70</f>
        <v>168.23949999999999</v>
      </c>
      <c r="H70" s="26">
        <f t="shared" si="11"/>
        <v>260.00649999999996</v>
      </c>
      <c r="I70" s="19">
        <v>0</v>
      </c>
      <c r="J70" s="19">
        <v>0</v>
      </c>
      <c r="K70" s="19">
        <v>0</v>
      </c>
      <c r="L70" s="19">
        <v>6</v>
      </c>
      <c r="M70" s="19">
        <f t="shared" si="12"/>
        <v>6</v>
      </c>
      <c r="N70" s="35"/>
      <c r="O70" s="36"/>
      <c r="P70" s="234">
        <f t="shared" si="10"/>
        <v>124774825.17499998</v>
      </c>
      <c r="Q70" s="16"/>
    </row>
    <row r="71" spans="1:19" ht="21.75" customHeight="1" x14ac:dyDescent="0.3">
      <c r="A71" s="13"/>
      <c r="B71" s="14" t="s">
        <v>74</v>
      </c>
      <c r="C71" s="15" t="s">
        <v>43</v>
      </c>
      <c r="D71" s="26">
        <v>1189</v>
      </c>
      <c r="E71" s="50" t="s">
        <v>52</v>
      </c>
      <c r="F71" s="19">
        <f>5%*D71</f>
        <v>59.45</v>
      </c>
      <c r="G71" s="26">
        <f>10%*D71</f>
        <v>118.9</v>
      </c>
      <c r="H71" s="26">
        <f t="shared" si="11"/>
        <v>178.35000000000002</v>
      </c>
      <c r="I71" s="19">
        <v>0</v>
      </c>
      <c r="J71" s="19"/>
      <c r="K71" s="19"/>
      <c r="L71" s="19">
        <v>9</v>
      </c>
      <c r="M71" s="19">
        <f t="shared" si="12"/>
        <v>9</v>
      </c>
      <c r="N71" s="35"/>
      <c r="O71" s="36"/>
      <c r="P71" s="234">
        <f t="shared" si="10"/>
        <v>88182185</v>
      </c>
      <c r="Q71" s="16"/>
    </row>
    <row r="72" spans="1:19" ht="18.75" customHeight="1" x14ac:dyDescent="0.3">
      <c r="A72" s="89"/>
      <c r="B72" s="72" t="s">
        <v>347</v>
      </c>
      <c r="C72" s="72"/>
      <c r="D72" s="84">
        <f>SUM(D42:D71)</f>
        <v>30187.68</v>
      </c>
      <c r="E72" s="74"/>
      <c r="F72" s="83">
        <f>SUM(F49:F71)</f>
        <v>1768.367</v>
      </c>
      <c r="G72" s="83">
        <f t="shared" ref="G72:M72" si="14">SUM(G42:G71)</f>
        <v>4830.6541999999981</v>
      </c>
      <c r="H72" s="83">
        <f t="shared" si="14"/>
        <v>7100.5451999999987</v>
      </c>
      <c r="I72" s="83">
        <f t="shared" si="14"/>
        <v>0</v>
      </c>
      <c r="J72" s="83">
        <f t="shared" si="14"/>
        <v>0</v>
      </c>
      <c r="K72" s="83">
        <f t="shared" si="14"/>
        <v>40</v>
      </c>
      <c r="L72" s="83">
        <f t="shared" si="14"/>
        <v>141</v>
      </c>
      <c r="M72" s="83">
        <f t="shared" si="14"/>
        <v>181</v>
      </c>
      <c r="N72" s="76"/>
      <c r="O72" s="77"/>
      <c r="P72" s="184">
        <f>SUM(P42:P71)</f>
        <v>3582654687.4300003</v>
      </c>
      <c r="Q72" s="75"/>
    </row>
    <row r="73" spans="1:19" ht="23.25" customHeight="1" x14ac:dyDescent="0.3">
      <c r="A73" s="63">
        <v>4</v>
      </c>
      <c r="B73" s="64" t="s">
        <v>46</v>
      </c>
      <c r="C73" s="65"/>
      <c r="D73" s="66"/>
      <c r="E73" s="67"/>
      <c r="F73" s="82"/>
      <c r="G73" s="82"/>
      <c r="H73" s="82"/>
      <c r="I73" s="82"/>
      <c r="J73" s="82"/>
      <c r="K73" s="82"/>
      <c r="L73" s="82"/>
      <c r="M73" s="82"/>
      <c r="N73" s="69"/>
      <c r="O73" s="70"/>
      <c r="P73" s="233"/>
      <c r="Q73" s="68"/>
    </row>
    <row r="74" spans="1:19" ht="21" customHeight="1" x14ac:dyDescent="0.3">
      <c r="A74" s="102"/>
      <c r="B74" s="98" t="s">
        <v>57</v>
      </c>
      <c r="C74" s="99" t="s">
        <v>29</v>
      </c>
      <c r="D74" s="96">
        <v>175</v>
      </c>
      <c r="E74" s="101" t="s">
        <v>645</v>
      </c>
      <c r="F74" s="96">
        <f>2%*D74</f>
        <v>3.5</v>
      </c>
      <c r="G74" s="96">
        <f>6%*D74</f>
        <v>10.5</v>
      </c>
      <c r="H74" s="96">
        <f>SUM(F74:G74)</f>
        <v>14</v>
      </c>
      <c r="I74" s="97">
        <v>0</v>
      </c>
      <c r="J74" s="97"/>
      <c r="K74" s="97"/>
      <c r="L74" s="97">
        <v>2</v>
      </c>
      <c r="M74" s="97">
        <f t="shared" ref="M74:M83" si="15">SUM(I74:L74)</f>
        <v>2</v>
      </c>
      <c r="N74" s="35" t="s">
        <v>51</v>
      </c>
      <c r="O74" s="36" t="s">
        <v>229</v>
      </c>
      <c r="P74" s="234">
        <f>G74*1.036*20%*8000000</f>
        <v>17404800</v>
      </c>
      <c r="Q74" s="16"/>
    </row>
    <row r="75" spans="1:19" ht="20.25" customHeight="1" x14ac:dyDescent="0.3">
      <c r="A75" s="13"/>
      <c r="B75" s="14" t="s">
        <v>58</v>
      </c>
      <c r="C75" s="15" t="s">
        <v>33</v>
      </c>
      <c r="D75" s="26">
        <v>368</v>
      </c>
      <c r="E75" s="47" t="s">
        <v>185</v>
      </c>
      <c r="F75" s="26">
        <f>3%*D75</f>
        <v>11.04</v>
      </c>
      <c r="G75" s="26">
        <f>4%*D75</f>
        <v>14.72</v>
      </c>
      <c r="H75" s="26">
        <f t="shared" ref="H75:H83" si="16">SUM(F75:G75)</f>
        <v>25.759999999999998</v>
      </c>
      <c r="I75" s="19">
        <v>0</v>
      </c>
      <c r="J75" s="19"/>
      <c r="K75" s="19">
        <v>0</v>
      </c>
      <c r="L75" s="19">
        <v>3</v>
      </c>
      <c r="M75" s="19">
        <f t="shared" si="15"/>
        <v>3</v>
      </c>
      <c r="N75" s="35" t="s">
        <v>51</v>
      </c>
      <c r="O75" s="36" t="s">
        <v>138</v>
      </c>
      <c r="P75" s="234">
        <f>G75*1.036*20%*8000000</f>
        <v>24399872.000000004</v>
      </c>
      <c r="Q75" s="16"/>
    </row>
    <row r="76" spans="1:19" ht="28.5" customHeight="1" x14ac:dyDescent="0.3">
      <c r="A76" s="13"/>
      <c r="B76" s="98" t="s">
        <v>59</v>
      </c>
      <c r="C76" s="99" t="s">
        <v>42</v>
      </c>
      <c r="D76" s="96">
        <v>774.98</v>
      </c>
      <c r="E76" s="101" t="s">
        <v>645</v>
      </c>
      <c r="F76" s="96">
        <f>2%*D76</f>
        <v>15.499600000000001</v>
      </c>
      <c r="G76" s="97">
        <f>8%*D76</f>
        <v>61.998400000000004</v>
      </c>
      <c r="H76" s="96">
        <f t="shared" si="16"/>
        <v>77.498000000000005</v>
      </c>
      <c r="I76" s="97">
        <v>0</v>
      </c>
      <c r="J76" s="97"/>
      <c r="K76" s="97">
        <v>5</v>
      </c>
      <c r="L76" s="97">
        <v>4</v>
      </c>
      <c r="M76" s="97">
        <f t="shared" si="15"/>
        <v>9</v>
      </c>
      <c r="N76" s="35"/>
      <c r="O76" s="36"/>
      <c r="P76" s="234">
        <f>G76*1.036*20%*8000000</f>
        <v>102768547.84000002</v>
      </c>
      <c r="Q76" s="16"/>
    </row>
    <row r="77" spans="1:19" ht="24" customHeight="1" x14ac:dyDescent="0.3">
      <c r="A77" s="13"/>
      <c r="B77" s="98" t="s">
        <v>60</v>
      </c>
      <c r="C77" s="99" t="s">
        <v>21</v>
      </c>
      <c r="D77" s="96">
        <v>949.55</v>
      </c>
      <c r="E77" s="101" t="s">
        <v>645</v>
      </c>
      <c r="F77" s="96">
        <f>2%*D77</f>
        <v>18.991</v>
      </c>
      <c r="G77" s="97">
        <f>6%*D77</f>
        <v>56.972999999999992</v>
      </c>
      <c r="H77" s="96">
        <f t="shared" si="16"/>
        <v>75.963999999999999</v>
      </c>
      <c r="I77" s="97">
        <v>0</v>
      </c>
      <c r="J77" s="97"/>
      <c r="K77" s="97">
        <v>0</v>
      </c>
      <c r="L77" s="97">
        <v>5</v>
      </c>
      <c r="M77" s="97">
        <f t="shared" si="15"/>
        <v>5</v>
      </c>
      <c r="N77" s="35"/>
      <c r="O77" s="36"/>
      <c r="P77" s="234">
        <f t="shared" ref="P77:P80" si="17">G77*1.036*20%*8500000</f>
        <v>100340847.59999999</v>
      </c>
      <c r="Q77" s="16"/>
      <c r="S77" s="1" t="s">
        <v>641</v>
      </c>
    </row>
    <row r="78" spans="1:19" ht="25.5" customHeight="1" x14ac:dyDescent="0.3">
      <c r="A78" s="13"/>
      <c r="B78" s="98"/>
      <c r="C78" s="99"/>
      <c r="D78" s="96"/>
      <c r="E78" s="47" t="s">
        <v>185</v>
      </c>
      <c r="F78" s="96">
        <f>5%*D77</f>
        <v>47.477499999999999</v>
      </c>
      <c r="G78" s="96">
        <f>5%*D77</f>
        <v>47.477499999999999</v>
      </c>
      <c r="H78" s="96">
        <f>SUM(F78:G78)</f>
        <v>94.954999999999998</v>
      </c>
      <c r="I78" s="19">
        <v>0</v>
      </c>
      <c r="J78" s="19">
        <v>0</v>
      </c>
      <c r="K78" s="19">
        <v>0</v>
      </c>
      <c r="L78" s="19">
        <v>5</v>
      </c>
      <c r="M78" s="19">
        <f t="shared" si="15"/>
        <v>5</v>
      </c>
      <c r="N78" s="35"/>
      <c r="O78" s="36"/>
      <c r="P78" s="234">
        <f t="shared" si="17"/>
        <v>83617373</v>
      </c>
      <c r="Q78" s="16"/>
    </row>
    <row r="79" spans="1:19" ht="27" customHeight="1" x14ac:dyDescent="0.3">
      <c r="A79" s="16"/>
      <c r="B79" s="14" t="s">
        <v>61</v>
      </c>
      <c r="C79" s="15" t="s">
        <v>22</v>
      </c>
      <c r="D79" s="26">
        <v>1223.55</v>
      </c>
      <c r="E79" s="101" t="s">
        <v>645</v>
      </c>
      <c r="F79" s="26">
        <f>4%*D79</f>
        <v>48.942</v>
      </c>
      <c r="G79" s="19">
        <f>7%*D79</f>
        <v>85.648499999999999</v>
      </c>
      <c r="H79" s="26">
        <f t="shared" si="16"/>
        <v>134.59049999999999</v>
      </c>
      <c r="I79" s="19">
        <v>0</v>
      </c>
      <c r="J79" s="19"/>
      <c r="K79" s="19">
        <v>5</v>
      </c>
      <c r="L79" s="19">
        <v>6</v>
      </c>
      <c r="M79" s="19">
        <f t="shared" si="15"/>
        <v>11</v>
      </c>
      <c r="N79" s="35"/>
      <c r="O79" s="36"/>
      <c r="P79" s="234">
        <f t="shared" si="17"/>
        <v>150844138.19999999</v>
      </c>
      <c r="Q79" s="16"/>
    </row>
    <row r="80" spans="1:19" ht="22.5" customHeight="1" x14ac:dyDescent="0.3">
      <c r="A80" s="87"/>
      <c r="B80" s="55"/>
      <c r="C80" s="56"/>
      <c r="D80" s="57"/>
      <c r="E80" s="47" t="s">
        <v>185</v>
      </c>
      <c r="F80" s="26">
        <f>3%*D79</f>
        <v>36.706499999999998</v>
      </c>
      <c r="G80" s="19">
        <f>D79*5%</f>
        <v>61.177500000000002</v>
      </c>
      <c r="H80" s="26">
        <f>F80+G80</f>
        <v>97.884</v>
      </c>
      <c r="I80" s="19"/>
      <c r="J80" s="19"/>
      <c r="K80" s="19"/>
      <c r="L80" s="19"/>
      <c r="M80" s="19"/>
      <c r="N80" s="35"/>
      <c r="O80" s="36"/>
      <c r="P80" s="234">
        <f t="shared" si="17"/>
        <v>107745813</v>
      </c>
      <c r="Q80" s="16"/>
    </row>
    <row r="81" spans="1:20" ht="24.75" customHeight="1" x14ac:dyDescent="0.3">
      <c r="A81" s="87"/>
      <c r="B81" s="55" t="s">
        <v>62</v>
      </c>
      <c r="C81" s="56" t="s">
        <v>43</v>
      </c>
      <c r="D81" s="57">
        <v>133</v>
      </c>
      <c r="E81" s="101" t="s">
        <v>645</v>
      </c>
      <c r="F81" s="19">
        <f>4%*D81</f>
        <v>5.32</v>
      </c>
      <c r="G81" s="135">
        <f>3%*D81</f>
        <v>3.9899999999999998</v>
      </c>
      <c r="H81" s="26">
        <f t="shared" si="16"/>
        <v>9.31</v>
      </c>
      <c r="I81" s="19">
        <v>0</v>
      </c>
      <c r="J81" s="19"/>
      <c r="K81" s="19">
        <v>0</v>
      </c>
      <c r="L81" s="19">
        <v>3</v>
      </c>
      <c r="M81" s="19">
        <f t="shared" si="15"/>
        <v>3</v>
      </c>
      <c r="N81" s="35"/>
      <c r="O81" s="36"/>
      <c r="P81" s="234">
        <f>G81*1.036*20%*8000000</f>
        <v>6613824</v>
      </c>
      <c r="Q81" s="16"/>
    </row>
    <row r="82" spans="1:20" ht="32.25" customHeight="1" x14ac:dyDescent="0.3">
      <c r="A82" s="87"/>
      <c r="B82" s="14" t="s">
        <v>63</v>
      </c>
      <c r="C82" s="15" t="s">
        <v>44</v>
      </c>
      <c r="D82" s="26">
        <v>324.64999999999998</v>
      </c>
      <c r="E82" s="101" t="s">
        <v>645</v>
      </c>
      <c r="F82" s="135">
        <f>4%*D82</f>
        <v>12.985999999999999</v>
      </c>
      <c r="G82" s="19">
        <f>5%*D82</f>
        <v>16.232499999999998</v>
      </c>
      <c r="H82" s="26">
        <f t="shared" si="16"/>
        <v>29.218499999999999</v>
      </c>
      <c r="I82" s="135">
        <v>0</v>
      </c>
      <c r="J82" s="135"/>
      <c r="K82" s="135">
        <v>0</v>
      </c>
      <c r="L82" s="135">
        <v>6</v>
      </c>
      <c r="M82" s="135">
        <f t="shared" ref="M82" si="18">SUM(I82:L82)</f>
        <v>6</v>
      </c>
      <c r="N82" s="80"/>
      <c r="O82" s="81"/>
      <c r="P82" s="234">
        <f>G82*1.036*20%*8000000</f>
        <v>26906992</v>
      </c>
      <c r="Q82" s="87"/>
    </row>
    <row r="83" spans="1:20" ht="21" customHeight="1" x14ac:dyDescent="0.3">
      <c r="A83" s="16"/>
      <c r="B83" s="14" t="s">
        <v>63</v>
      </c>
      <c r="C83" s="15" t="s">
        <v>32</v>
      </c>
      <c r="D83" s="26">
        <v>248.5</v>
      </c>
      <c r="E83" s="101" t="s">
        <v>645</v>
      </c>
      <c r="F83" s="135">
        <f>3%*D83</f>
        <v>7.4550000000000001</v>
      </c>
      <c r="G83" s="19">
        <f>5%*D83</f>
        <v>12.425000000000001</v>
      </c>
      <c r="H83" s="26">
        <f t="shared" si="16"/>
        <v>19.880000000000003</v>
      </c>
      <c r="I83" s="135">
        <v>0</v>
      </c>
      <c r="J83" s="135"/>
      <c r="K83" s="135">
        <v>0</v>
      </c>
      <c r="L83" s="135">
        <v>5</v>
      </c>
      <c r="M83" s="135">
        <f t="shared" si="15"/>
        <v>5</v>
      </c>
      <c r="N83" s="80"/>
      <c r="O83" s="81"/>
      <c r="P83" s="234">
        <f>G83*1.036*20%*8000000</f>
        <v>20595680</v>
      </c>
      <c r="Q83" s="87"/>
    </row>
    <row r="84" spans="1:20" ht="21.75" customHeight="1" x14ac:dyDescent="0.3">
      <c r="A84" s="75"/>
      <c r="B84" s="72" t="s">
        <v>348</v>
      </c>
      <c r="C84" s="72"/>
      <c r="D84" s="73">
        <f>SUM(D74:D83)</f>
        <v>4197.2299999999996</v>
      </c>
      <c r="E84" s="74"/>
      <c r="F84" s="73">
        <f t="shared" ref="F84:K84" si="19">SUM(F74:F83)</f>
        <v>207.91759999999999</v>
      </c>
      <c r="G84" s="83">
        <f t="shared" si="19"/>
        <v>371.14240000000001</v>
      </c>
      <c r="H84" s="73">
        <f t="shared" si="19"/>
        <v>579.05999999999995</v>
      </c>
      <c r="I84" s="83">
        <f t="shared" si="19"/>
        <v>0</v>
      </c>
      <c r="J84" s="83">
        <f t="shared" si="19"/>
        <v>0</v>
      </c>
      <c r="K84" s="83">
        <f t="shared" si="19"/>
        <v>10</v>
      </c>
      <c r="L84" s="83">
        <f>SUM(L73:L83)</f>
        <v>39</v>
      </c>
      <c r="M84" s="83">
        <f>SUM(M74:M83)</f>
        <v>49</v>
      </c>
      <c r="N84" s="76"/>
      <c r="O84" s="77"/>
      <c r="P84" s="184">
        <f>SUM(P74:P83)</f>
        <v>641237887.6400001</v>
      </c>
      <c r="Q84" s="75"/>
    </row>
    <row r="85" spans="1:20" ht="18.75" customHeight="1" x14ac:dyDescent="0.3">
      <c r="A85" s="63">
        <v>5</v>
      </c>
      <c r="B85" s="64" t="s">
        <v>96</v>
      </c>
      <c r="C85" s="65"/>
      <c r="D85" s="66"/>
      <c r="E85" s="67"/>
      <c r="F85" s="66"/>
      <c r="G85" s="66"/>
      <c r="H85" s="66"/>
      <c r="I85" s="82"/>
      <c r="J85" s="82"/>
      <c r="K85" s="82"/>
      <c r="L85" s="82"/>
      <c r="M85" s="82"/>
      <c r="N85" s="69"/>
      <c r="O85" s="70"/>
      <c r="P85" s="233"/>
      <c r="Q85" s="68"/>
    </row>
    <row r="86" spans="1:20" ht="27" customHeight="1" x14ac:dyDescent="0.3">
      <c r="A86" s="16"/>
      <c r="B86" s="14" t="s">
        <v>57</v>
      </c>
      <c r="C86" s="15" t="s">
        <v>22</v>
      </c>
      <c r="D86" s="26">
        <v>13.6</v>
      </c>
      <c r="E86" s="49" t="s">
        <v>187</v>
      </c>
      <c r="F86" s="26">
        <f>40%*D86</f>
        <v>5.44</v>
      </c>
      <c r="G86" s="26">
        <f>4%*D86</f>
        <v>0.54400000000000004</v>
      </c>
      <c r="H86" s="26">
        <f t="shared" ref="H86:H94" si="20">SUM(F86:G86)</f>
        <v>5.984</v>
      </c>
      <c r="I86" s="19">
        <v>0</v>
      </c>
      <c r="J86" s="19"/>
      <c r="K86" s="19">
        <v>3</v>
      </c>
      <c r="L86" s="19">
        <v>1</v>
      </c>
      <c r="M86" s="19">
        <f>SUM(I86:L86)</f>
        <v>4</v>
      </c>
      <c r="N86" s="35"/>
      <c r="O86" s="36"/>
      <c r="P86" s="161">
        <f t="shared" ref="P86:P94" si="21">G86*0.486*30%*40000000</f>
        <v>3172608</v>
      </c>
      <c r="Q86" s="16"/>
    </row>
    <row r="87" spans="1:20" ht="27.75" customHeight="1" x14ac:dyDescent="0.3">
      <c r="A87" s="16"/>
      <c r="B87" s="14" t="s">
        <v>58</v>
      </c>
      <c r="C87" s="15" t="s">
        <v>21</v>
      </c>
      <c r="D87" s="26">
        <v>24.61</v>
      </c>
      <c r="E87" s="49" t="s">
        <v>187</v>
      </c>
      <c r="F87" s="26">
        <f>10%*D87</f>
        <v>2.4610000000000003</v>
      </c>
      <c r="G87" s="26">
        <f>9%*D87</f>
        <v>2.2148999999999996</v>
      </c>
      <c r="H87" s="26">
        <f t="shared" si="20"/>
        <v>4.6759000000000004</v>
      </c>
      <c r="I87" s="19">
        <v>0</v>
      </c>
      <c r="J87" s="19"/>
      <c r="K87" s="19">
        <v>2</v>
      </c>
      <c r="L87" s="19">
        <v>1</v>
      </c>
      <c r="M87" s="19">
        <f t="shared" ref="M87:M94" si="22">SUM(I87:L87)</f>
        <v>3</v>
      </c>
      <c r="N87" s="35"/>
      <c r="O87" s="40" t="s">
        <v>50</v>
      </c>
      <c r="P87" s="161">
        <f t="shared" si="21"/>
        <v>12917296.799999997</v>
      </c>
      <c r="Q87" s="16"/>
      <c r="S87" s="1" t="s">
        <v>636</v>
      </c>
      <c r="T87" s="1" t="s">
        <v>637</v>
      </c>
    </row>
    <row r="88" spans="1:20" ht="25.5" customHeight="1" x14ac:dyDescent="0.3">
      <c r="A88" s="16"/>
      <c r="B88" s="14"/>
      <c r="C88" s="15"/>
      <c r="D88" s="26"/>
      <c r="E88" s="49" t="s">
        <v>631</v>
      </c>
      <c r="F88" s="96">
        <f>5%*D87</f>
        <v>1.2305000000000001</v>
      </c>
      <c r="G88" s="96">
        <f>10%*D87</f>
        <v>2.4610000000000003</v>
      </c>
      <c r="H88" s="96">
        <f t="shared" si="20"/>
        <v>3.6915000000000004</v>
      </c>
      <c r="I88" s="97">
        <v>0</v>
      </c>
      <c r="J88" s="97">
        <v>0</v>
      </c>
      <c r="K88" s="97">
        <v>0</v>
      </c>
      <c r="L88" s="97">
        <v>2</v>
      </c>
      <c r="M88" s="97">
        <f t="shared" si="22"/>
        <v>2</v>
      </c>
      <c r="N88" s="35"/>
      <c r="O88" s="36"/>
      <c r="P88" s="161">
        <f t="shared" si="21"/>
        <v>14352552</v>
      </c>
      <c r="Q88" s="16"/>
      <c r="T88" s="1" t="s">
        <v>638</v>
      </c>
    </row>
    <row r="89" spans="1:20" ht="27.75" customHeight="1" x14ac:dyDescent="0.3">
      <c r="A89" s="16"/>
      <c r="B89" s="14" t="s">
        <v>59</v>
      </c>
      <c r="C89" s="15" t="s">
        <v>43</v>
      </c>
      <c r="D89" s="26">
        <v>22.64</v>
      </c>
      <c r="E89" s="49" t="s">
        <v>187</v>
      </c>
      <c r="F89" s="96">
        <f>10%*D89</f>
        <v>2.2640000000000002</v>
      </c>
      <c r="G89" s="26">
        <f>8%*D89</f>
        <v>1.8112000000000001</v>
      </c>
      <c r="H89" s="26">
        <f t="shared" si="20"/>
        <v>4.0752000000000006</v>
      </c>
      <c r="I89" s="19">
        <v>0</v>
      </c>
      <c r="J89" s="19"/>
      <c r="K89" s="19"/>
      <c r="L89" s="19">
        <v>3</v>
      </c>
      <c r="M89" s="19">
        <f t="shared" si="22"/>
        <v>3</v>
      </c>
      <c r="N89" s="35"/>
      <c r="O89" s="40" t="s">
        <v>137</v>
      </c>
      <c r="P89" s="161">
        <f t="shared" si="21"/>
        <v>10562918.399999999</v>
      </c>
      <c r="Q89" s="16"/>
    </row>
    <row r="90" spans="1:20" ht="30" customHeight="1" x14ac:dyDescent="0.3">
      <c r="A90" s="16"/>
      <c r="B90" s="14" t="s">
        <v>60</v>
      </c>
      <c r="C90" s="15" t="s">
        <v>44</v>
      </c>
      <c r="D90" s="26">
        <v>33</v>
      </c>
      <c r="E90" s="49" t="s">
        <v>187</v>
      </c>
      <c r="F90" s="26">
        <f>9%*D90</f>
        <v>2.9699999999999998</v>
      </c>
      <c r="G90" s="26">
        <f>9%*D90</f>
        <v>2.9699999999999998</v>
      </c>
      <c r="H90" s="26">
        <f t="shared" si="20"/>
        <v>5.9399999999999995</v>
      </c>
      <c r="I90" s="19">
        <v>0</v>
      </c>
      <c r="J90" s="19">
        <v>0</v>
      </c>
      <c r="K90" s="19">
        <v>0</v>
      </c>
      <c r="L90" s="19">
        <v>3</v>
      </c>
      <c r="M90" s="19">
        <f t="shared" si="22"/>
        <v>3</v>
      </c>
      <c r="N90" s="35"/>
      <c r="O90" s="36" t="s">
        <v>145</v>
      </c>
      <c r="P90" s="161">
        <f t="shared" si="21"/>
        <v>17321040</v>
      </c>
      <c r="Q90" s="16"/>
    </row>
    <row r="91" spans="1:20" ht="30.75" customHeight="1" x14ac:dyDescent="0.3">
      <c r="A91" s="16"/>
      <c r="B91" s="14" t="s">
        <v>61</v>
      </c>
      <c r="C91" s="15" t="s">
        <v>33</v>
      </c>
      <c r="D91" s="26">
        <v>8.3000000000000007</v>
      </c>
      <c r="E91" s="49" t="s">
        <v>187</v>
      </c>
      <c r="F91" s="26">
        <f>10%*D91</f>
        <v>0.83000000000000007</v>
      </c>
      <c r="G91" s="26">
        <f>10%*D91</f>
        <v>0.83000000000000007</v>
      </c>
      <c r="H91" s="26">
        <f t="shared" si="20"/>
        <v>1.6600000000000001</v>
      </c>
      <c r="I91" s="19">
        <v>0</v>
      </c>
      <c r="J91" s="19">
        <v>0</v>
      </c>
      <c r="K91" s="19">
        <v>0</v>
      </c>
      <c r="L91" s="19">
        <v>2</v>
      </c>
      <c r="M91" s="19">
        <f t="shared" si="22"/>
        <v>2</v>
      </c>
      <c r="N91" s="35"/>
      <c r="O91" s="40" t="s">
        <v>626</v>
      </c>
      <c r="P91" s="161">
        <f t="shared" si="21"/>
        <v>4840560</v>
      </c>
      <c r="Q91" s="16"/>
    </row>
    <row r="92" spans="1:20" ht="29.25" customHeight="1" x14ac:dyDescent="0.3">
      <c r="A92" s="16"/>
      <c r="B92" s="14" t="s">
        <v>62</v>
      </c>
      <c r="C92" s="15" t="s">
        <v>655</v>
      </c>
      <c r="D92" s="26">
        <v>5</v>
      </c>
      <c r="E92" s="49" t="s">
        <v>187</v>
      </c>
      <c r="F92" s="26">
        <f>8%*D92</f>
        <v>0.4</v>
      </c>
      <c r="G92" s="26">
        <f>7%*D92</f>
        <v>0.35000000000000003</v>
      </c>
      <c r="H92" s="26">
        <f t="shared" si="20"/>
        <v>0.75</v>
      </c>
      <c r="I92" s="19">
        <v>0</v>
      </c>
      <c r="J92" s="19">
        <v>0</v>
      </c>
      <c r="K92" s="19">
        <v>0</v>
      </c>
      <c r="L92" s="19"/>
      <c r="M92" s="19">
        <f t="shared" si="22"/>
        <v>0</v>
      </c>
      <c r="N92" s="35"/>
      <c r="O92" s="36"/>
      <c r="P92" s="161">
        <f t="shared" si="21"/>
        <v>2041200</v>
      </c>
      <c r="Q92" s="16"/>
    </row>
    <row r="93" spans="1:20" ht="25.5" customHeight="1" x14ac:dyDescent="0.3">
      <c r="A93" s="16"/>
      <c r="B93" s="14">
        <v>9</v>
      </c>
      <c r="C93" s="15" t="s">
        <v>30</v>
      </c>
      <c r="D93" s="26">
        <v>11.5</v>
      </c>
      <c r="E93" s="49" t="s">
        <v>187</v>
      </c>
      <c r="F93" s="26">
        <f>10%*D93</f>
        <v>1.1500000000000001</v>
      </c>
      <c r="G93" s="26">
        <f>10%*D93</f>
        <v>1.1500000000000001</v>
      </c>
      <c r="H93" s="26">
        <f t="shared" si="20"/>
        <v>2.3000000000000003</v>
      </c>
      <c r="I93" s="19">
        <v>0</v>
      </c>
      <c r="J93" s="19">
        <v>0</v>
      </c>
      <c r="K93" s="19"/>
      <c r="L93" s="19">
        <v>2</v>
      </c>
      <c r="M93" s="19">
        <f t="shared" si="22"/>
        <v>2</v>
      </c>
      <c r="N93" s="35"/>
      <c r="O93" s="36"/>
      <c r="P93" s="161">
        <f t="shared" si="21"/>
        <v>6706800.0000000009</v>
      </c>
      <c r="Q93" s="16"/>
    </row>
    <row r="94" spans="1:20" ht="23.25" customHeight="1" x14ac:dyDescent="0.3">
      <c r="A94" s="108"/>
      <c r="B94" s="117" t="s">
        <v>64</v>
      </c>
      <c r="C94" s="116" t="s">
        <v>31</v>
      </c>
      <c r="D94" s="109">
        <v>6</v>
      </c>
      <c r="E94" s="261" t="s">
        <v>187</v>
      </c>
      <c r="F94" s="109">
        <f>10%*D94</f>
        <v>0.60000000000000009</v>
      </c>
      <c r="G94" s="109">
        <f>12%*D94</f>
        <v>0.72</v>
      </c>
      <c r="H94" s="109">
        <f t="shared" si="20"/>
        <v>1.32</v>
      </c>
      <c r="I94" s="111">
        <v>0</v>
      </c>
      <c r="J94" s="111">
        <v>0</v>
      </c>
      <c r="K94" s="111">
        <v>0</v>
      </c>
      <c r="L94" s="111">
        <v>1</v>
      </c>
      <c r="M94" s="111">
        <f t="shared" si="22"/>
        <v>1</v>
      </c>
      <c r="N94" s="115"/>
      <c r="O94" s="113"/>
      <c r="P94" s="262">
        <f t="shared" si="21"/>
        <v>4199039.9999999991</v>
      </c>
      <c r="Q94" s="108"/>
    </row>
    <row r="95" spans="1:20" ht="21" customHeight="1" x14ac:dyDescent="0.3">
      <c r="A95" s="75"/>
      <c r="B95" s="72" t="s">
        <v>349</v>
      </c>
      <c r="C95" s="72"/>
      <c r="D95" s="73">
        <f>SUM(D86:D94)</f>
        <v>124.64999999999999</v>
      </c>
      <c r="E95" s="74"/>
      <c r="F95" s="73">
        <f t="shared" ref="F95:K95" si="23">SUM(F86:F94)</f>
        <v>17.345500000000001</v>
      </c>
      <c r="G95" s="73">
        <f t="shared" si="23"/>
        <v>13.051100000000002</v>
      </c>
      <c r="H95" s="73">
        <f t="shared" si="23"/>
        <v>30.396599999999999</v>
      </c>
      <c r="I95" s="83">
        <f t="shared" si="23"/>
        <v>0</v>
      </c>
      <c r="J95" s="83">
        <f t="shared" si="23"/>
        <v>0</v>
      </c>
      <c r="K95" s="83">
        <f t="shared" si="23"/>
        <v>5</v>
      </c>
      <c r="L95" s="83">
        <f>SUM(L85:L94)</f>
        <v>15</v>
      </c>
      <c r="M95" s="83">
        <f>SUM(M86:M94)</f>
        <v>20</v>
      </c>
      <c r="N95" s="76"/>
      <c r="O95" s="77"/>
      <c r="P95" s="184">
        <f>SUM(P86:P94)</f>
        <v>76114015.200000003</v>
      </c>
      <c r="Q95" s="75"/>
    </row>
    <row r="96" spans="1:20" ht="0.75" customHeight="1" x14ac:dyDescent="0.3">
      <c r="D96" s="273"/>
      <c r="E96" s="41"/>
      <c r="F96" s="273"/>
      <c r="G96" s="273"/>
      <c r="H96" s="273"/>
      <c r="I96" s="274"/>
      <c r="J96" s="274"/>
      <c r="K96" s="274"/>
      <c r="L96" s="274"/>
      <c r="M96" s="274"/>
      <c r="N96" s="41"/>
      <c r="O96" s="41"/>
      <c r="P96" s="275"/>
    </row>
    <row r="97" spans="1:20" ht="19.5" customHeight="1" x14ac:dyDescent="0.3">
      <c r="A97" s="63">
        <v>6</v>
      </c>
      <c r="B97" s="68" t="s">
        <v>116</v>
      </c>
      <c r="C97" s="68"/>
      <c r="D97" s="66"/>
      <c r="E97" s="67"/>
      <c r="F97" s="66"/>
      <c r="G97" s="82"/>
      <c r="H97" s="66"/>
      <c r="I97" s="82"/>
      <c r="J97" s="82"/>
      <c r="K97" s="82"/>
      <c r="L97" s="82"/>
      <c r="M97" s="82"/>
      <c r="N97" s="69"/>
      <c r="O97" s="70"/>
      <c r="P97" s="233"/>
      <c r="Q97" s="68"/>
      <c r="S97" s="1" t="s">
        <v>596</v>
      </c>
    </row>
    <row r="98" spans="1:20" ht="27.75" customHeight="1" x14ac:dyDescent="0.3">
      <c r="A98" s="27"/>
      <c r="B98" s="152" t="s">
        <v>57</v>
      </c>
      <c r="C98" s="99" t="s">
        <v>30</v>
      </c>
      <c r="D98" s="154">
        <v>54.84</v>
      </c>
      <c r="E98" s="101" t="s">
        <v>607</v>
      </c>
      <c r="F98" s="154">
        <f>4%*D98</f>
        <v>2.1936</v>
      </c>
      <c r="G98" s="155">
        <f>5%*D98</f>
        <v>2.7420000000000004</v>
      </c>
      <c r="H98" s="154">
        <f t="shared" ref="H98:H106" si="24">SUM(F98:G98)</f>
        <v>4.9356000000000009</v>
      </c>
      <c r="I98" s="155">
        <v>0</v>
      </c>
      <c r="J98" s="155"/>
      <c r="K98" s="155"/>
      <c r="L98" s="155">
        <v>2</v>
      </c>
      <c r="M98" s="155">
        <f>SUM(I98:L98)</f>
        <v>2</v>
      </c>
      <c r="N98" s="156" t="s">
        <v>86</v>
      </c>
      <c r="O98" s="36" t="s">
        <v>211</v>
      </c>
      <c r="P98" s="236">
        <f t="shared" ref="P98:P106" si="25">G98*0.347*30*21000000</f>
        <v>599428620</v>
      </c>
      <c r="Q98" s="27"/>
      <c r="S98" s="1" t="s">
        <v>597</v>
      </c>
      <c r="T98" s="1" t="s">
        <v>598</v>
      </c>
    </row>
    <row r="99" spans="1:20" ht="24" customHeight="1" x14ac:dyDescent="0.3">
      <c r="A99" s="27"/>
      <c r="B99" s="152"/>
      <c r="C99" s="153"/>
      <c r="D99" s="154"/>
      <c r="E99" s="101" t="s">
        <v>625</v>
      </c>
      <c r="F99" s="154">
        <f>7%*D98</f>
        <v>3.8388000000000004</v>
      </c>
      <c r="G99" s="155">
        <f>1%*D98</f>
        <v>0.5484</v>
      </c>
      <c r="H99" s="154">
        <f t="shared" ref="H99:H100" si="26">SUM(F99:G99)</f>
        <v>4.3872</v>
      </c>
      <c r="I99" s="155">
        <v>0</v>
      </c>
      <c r="J99" s="155"/>
      <c r="K99" s="155"/>
      <c r="L99" s="155">
        <v>1</v>
      </c>
      <c r="M99" s="155">
        <f>SUM(I99:L99)</f>
        <v>1</v>
      </c>
      <c r="N99" s="156"/>
      <c r="O99" s="40"/>
      <c r="P99" s="236">
        <f t="shared" si="25"/>
        <v>119885723.99999999</v>
      </c>
      <c r="Q99" s="27"/>
    </row>
    <row r="100" spans="1:20" ht="21" customHeight="1" x14ac:dyDescent="0.3">
      <c r="A100" s="27"/>
      <c r="B100" s="152"/>
      <c r="C100" s="153"/>
      <c r="D100" s="154"/>
      <c r="E100" s="248" t="s">
        <v>671</v>
      </c>
      <c r="F100" s="154">
        <f>4%*D98</f>
        <v>2.1936</v>
      </c>
      <c r="G100" s="155">
        <f>3%*D98</f>
        <v>1.6452</v>
      </c>
      <c r="H100" s="154">
        <f t="shared" si="26"/>
        <v>3.8388</v>
      </c>
      <c r="I100" s="155"/>
      <c r="J100" s="155"/>
      <c r="K100" s="155"/>
      <c r="L100" s="155">
        <v>2</v>
      </c>
      <c r="M100" s="155"/>
      <c r="N100" s="156"/>
      <c r="O100" s="40"/>
      <c r="P100" s="236">
        <f t="shared" si="25"/>
        <v>359657171.99999994</v>
      </c>
      <c r="Q100" s="27"/>
    </row>
    <row r="101" spans="1:20" ht="27" customHeight="1" x14ac:dyDescent="0.3">
      <c r="A101" s="16"/>
      <c r="B101" s="14" t="s">
        <v>58</v>
      </c>
      <c r="C101" s="15" t="s">
        <v>44</v>
      </c>
      <c r="D101" s="26">
        <v>84.65</v>
      </c>
      <c r="E101" s="47" t="s">
        <v>182</v>
      </c>
      <c r="F101" s="26">
        <f>8%*D101</f>
        <v>6.7720000000000002</v>
      </c>
      <c r="G101" s="19">
        <f>7%*D101</f>
        <v>5.9255000000000013</v>
      </c>
      <c r="H101" s="26">
        <f t="shared" si="24"/>
        <v>12.697500000000002</v>
      </c>
      <c r="I101" s="19">
        <v>0</v>
      </c>
      <c r="J101" s="19"/>
      <c r="K101" s="19"/>
      <c r="L101" s="19">
        <v>3</v>
      </c>
      <c r="M101" s="19">
        <f t="shared" ref="M101:M106" si="27">SUM(I101:L101)</f>
        <v>3</v>
      </c>
      <c r="N101" s="35"/>
      <c r="O101" s="40"/>
      <c r="P101" s="236">
        <f t="shared" si="25"/>
        <v>1295373555.0000002</v>
      </c>
      <c r="Q101" s="16"/>
      <c r="S101" s="1" t="s">
        <v>599</v>
      </c>
      <c r="T101" s="1" t="s">
        <v>600</v>
      </c>
    </row>
    <row r="102" spans="1:20" ht="29.25" customHeight="1" x14ac:dyDescent="0.3">
      <c r="A102" s="16"/>
      <c r="B102" s="14"/>
      <c r="C102" s="15"/>
      <c r="D102" s="26"/>
      <c r="E102" s="101" t="s">
        <v>181</v>
      </c>
      <c r="F102" s="96">
        <f>3%*D101</f>
        <v>2.5394999999999999</v>
      </c>
      <c r="G102" s="97">
        <f>4%*D101</f>
        <v>3.3860000000000001</v>
      </c>
      <c r="H102" s="96">
        <f t="shared" si="24"/>
        <v>5.9254999999999995</v>
      </c>
      <c r="I102" s="97">
        <v>0</v>
      </c>
      <c r="J102" s="97"/>
      <c r="K102" s="97">
        <v>0</v>
      </c>
      <c r="L102" s="97">
        <v>5</v>
      </c>
      <c r="M102" s="97">
        <f>SUM(I102:L102)</f>
        <v>5</v>
      </c>
      <c r="N102" s="35"/>
      <c r="O102" s="159"/>
      <c r="P102" s="236">
        <f t="shared" si="25"/>
        <v>740213459.99999988</v>
      </c>
      <c r="Q102" s="16"/>
    </row>
    <row r="103" spans="1:20" ht="24" customHeight="1" x14ac:dyDescent="0.3">
      <c r="A103" s="16"/>
      <c r="B103" s="14" t="s">
        <v>59</v>
      </c>
      <c r="C103" s="15" t="s">
        <v>33</v>
      </c>
      <c r="D103" s="26">
        <v>14.2</v>
      </c>
      <c r="E103" s="101" t="s">
        <v>181</v>
      </c>
      <c r="F103" s="96">
        <f>8%*D103</f>
        <v>1.1359999999999999</v>
      </c>
      <c r="G103" s="240">
        <f>12%*D103</f>
        <v>1.704</v>
      </c>
      <c r="H103" s="26">
        <f t="shared" si="24"/>
        <v>2.84</v>
      </c>
      <c r="I103" s="19">
        <v>0</v>
      </c>
      <c r="J103" s="19"/>
      <c r="K103" s="19"/>
      <c r="L103" s="19">
        <v>2</v>
      </c>
      <c r="M103" s="19">
        <f t="shared" si="27"/>
        <v>2</v>
      </c>
      <c r="N103" s="35" t="s">
        <v>88</v>
      </c>
      <c r="O103" s="40" t="s">
        <v>274</v>
      </c>
      <c r="P103" s="236">
        <f t="shared" si="25"/>
        <v>372511439.99999994</v>
      </c>
      <c r="Q103" s="16"/>
      <c r="S103" s="1" t="s">
        <v>592</v>
      </c>
    </row>
    <row r="104" spans="1:20" ht="21.75" customHeight="1" x14ac:dyDescent="0.3">
      <c r="A104" s="87"/>
      <c r="B104" s="55"/>
      <c r="C104" s="56"/>
      <c r="D104" s="57"/>
      <c r="E104" s="248" t="s">
        <v>671</v>
      </c>
      <c r="F104" s="154">
        <f>5%*D103</f>
        <v>0.71</v>
      </c>
      <c r="G104" s="154">
        <f>D103*8%</f>
        <v>1.1359999999999999</v>
      </c>
      <c r="H104" s="154">
        <f t="shared" si="24"/>
        <v>1.8459999999999999</v>
      </c>
      <c r="I104" s="155"/>
      <c r="J104" s="155"/>
      <c r="K104" s="155"/>
      <c r="L104" s="155">
        <v>2</v>
      </c>
      <c r="M104" s="155"/>
      <c r="N104" s="156"/>
      <c r="O104" s="40"/>
      <c r="P104" s="236">
        <f t="shared" si="25"/>
        <v>248340959.99999994</v>
      </c>
      <c r="Q104" s="87"/>
    </row>
    <row r="105" spans="1:20" ht="23.25" customHeight="1" x14ac:dyDescent="0.3">
      <c r="A105" s="87"/>
      <c r="B105" s="98" t="s">
        <v>61</v>
      </c>
      <c r="C105" s="99" t="s">
        <v>35</v>
      </c>
      <c r="D105" s="96">
        <v>36.72</v>
      </c>
      <c r="E105" s="101" t="s">
        <v>181</v>
      </c>
      <c r="F105" s="96">
        <f>8%*D105</f>
        <v>2.9375999999999998</v>
      </c>
      <c r="G105" s="97">
        <f>6%*D105</f>
        <v>2.2031999999999998</v>
      </c>
      <c r="H105" s="96">
        <f t="shared" si="24"/>
        <v>5.1407999999999996</v>
      </c>
      <c r="I105" s="97">
        <v>0</v>
      </c>
      <c r="J105" s="97"/>
      <c r="K105" s="97">
        <v>0</v>
      </c>
      <c r="L105" s="97">
        <v>3</v>
      </c>
      <c r="M105" s="97">
        <f>SUM(I105:L105)</f>
        <v>3</v>
      </c>
      <c r="N105" s="35"/>
      <c r="O105" s="159"/>
      <c r="P105" s="236">
        <f t="shared" si="25"/>
        <v>481641551.99999994</v>
      </c>
      <c r="Q105" s="87"/>
    </row>
    <row r="106" spans="1:20" ht="29.25" customHeight="1" x14ac:dyDescent="0.3">
      <c r="A106" s="108"/>
      <c r="B106" s="265"/>
      <c r="C106" s="263"/>
      <c r="D106" s="264"/>
      <c r="E106" s="142" t="s">
        <v>183</v>
      </c>
      <c r="F106" s="127">
        <f>6%*D105</f>
        <v>2.2031999999999998</v>
      </c>
      <c r="G106" s="282">
        <f>8%*D105</f>
        <v>2.9375999999999998</v>
      </c>
      <c r="H106" s="127">
        <f t="shared" si="24"/>
        <v>5.1407999999999996</v>
      </c>
      <c r="I106" s="143">
        <v>0</v>
      </c>
      <c r="J106" s="143">
        <v>0</v>
      </c>
      <c r="K106" s="143">
        <v>0</v>
      </c>
      <c r="L106" s="143">
        <v>3</v>
      </c>
      <c r="M106" s="143">
        <f t="shared" si="27"/>
        <v>3</v>
      </c>
      <c r="N106" s="283" t="s">
        <v>254</v>
      </c>
      <c r="O106" s="284" t="s">
        <v>137</v>
      </c>
      <c r="P106" s="285">
        <f t="shared" si="25"/>
        <v>642188735.99999988</v>
      </c>
      <c r="Q106" s="108"/>
      <c r="S106" s="217" t="s">
        <v>601</v>
      </c>
      <c r="T106" s="216" t="s">
        <v>602</v>
      </c>
    </row>
    <row r="107" spans="1:20" ht="20.25" customHeight="1" x14ac:dyDescent="0.3">
      <c r="A107" s="75"/>
      <c r="B107" s="136" t="s">
        <v>351</v>
      </c>
      <c r="C107" s="137"/>
      <c r="D107" s="138">
        <f>SUM(D98:D106)</f>
        <v>190.41</v>
      </c>
      <c r="E107" s="139"/>
      <c r="F107" s="138">
        <f t="shared" ref="F107:M107" si="28">SUM(F98:F106)</f>
        <v>24.5243</v>
      </c>
      <c r="G107" s="140">
        <f t="shared" si="28"/>
        <v>22.227900000000002</v>
      </c>
      <c r="H107" s="138">
        <f t="shared" si="28"/>
        <v>46.752199999999995</v>
      </c>
      <c r="I107" s="140">
        <f t="shared" si="28"/>
        <v>0</v>
      </c>
      <c r="J107" s="140">
        <f t="shared" si="28"/>
        <v>0</v>
      </c>
      <c r="K107" s="140">
        <f t="shared" si="28"/>
        <v>0</v>
      </c>
      <c r="L107" s="140">
        <f t="shared" si="28"/>
        <v>23</v>
      </c>
      <c r="M107" s="140">
        <f t="shared" si="28"/>
        <v>19</v>
      </c>
      <c r="N107" s="76"/>
      <c r="O107" s="77"/>
      <c r="P107" s="237">
        <f>SUM(P98:P106)</f>
        <v>4859241219</v>
      </c>
      <c r="Q107" s="75"/>
      <c r="R107" s="8"/>
    </row>
    <row r="108" spans="1:20" ht="21" customHeight="1" x14ac:dyDescent="0.3">
      <c r="A108" s="63">
        <v>7</v>
      </c>
      <c r="B108" s="8" t="s">
        <v>117</v>
      </c>
      <c r="C108" s="10"/>
      <c r="D108" s="90"/>
      <c r="E108" s="67"/>
      <c r="F108" s="66"/>
      <c r="G108" s="218"/>
      <c r="H108" s="66"/>
      <c r="I108" s="82"/>
      <c r="J108" s="82"/>
      <c r="K108" s="82"/>
      <c r="L108" s="82"/>
      <c r="M108" s="82"/>
      <c r="N108" s="69"/>
      <c r="O108" s="70"/>
      <c r="P108" s="233"/>
      <c r="Q108" s="68"/>
    </row>
    <row r="109" spans="1:20" ht="24.75" customHeight="1" x14ac:dyDescent="0.3">
      <c r="A109" s="16"/>
      <c r="B109" s="14" t="s">
        <v>57</v>
      </c>
      <c r="C109" s="15" t="s">
        <v>22</v>
      </c>
      <c r="D109" s="26">
        <v>300.95</v>
      </c>
      <c r="E109" s="101" t="s">
        <v>203</v>
      </c>
      <c r="F109" s="96">
        <f>3%*D109</f>
        <v>9.0284999999999993</v>
      </c>
      <c r="G109" s="223">
        <f>29%*D109</f>
        <v>87.275499999999994</v>
      </c>
      <c r="H109" s="96">
        <f t="shared" ref="H109:H116" si="29">SUM(F109:G109)</f>
        <v>96.303999999999988</v>
      </c>
      <c r="I109" s="97">
        <v>0</v>
      </c>
      <c r="J109" s="97"/>
      <c r="K109" s="97">
        <v>5</v>
      </c>
      <c r="L109" s="97">
        <v>7</v>
      </c>
      <c r="M109" s="97">
        <f t="shared" ref="M109:M116" si="30">SUM(I109:L109)</f>
        <v>12</v>
      </c>
      <c r="N109" s="35"/>
      <c r="O109" s="40" t="s">
        <v>211</v>
      </c>
      <c r="P109" s="238">
        <f t="shared" ref="P109:P116" si="31">G109*0.3*30%*40000000</f>
        <v>314191800</v>
      </c>
      <c r="Q109" s="16"/>
    </row>
    <row r="110" spans="1:20" ht="18" customHeight="1" x14ac:dyDescent="0.3">
      <c r="A110" s="16"/>
      <c r="B110" s="14"/>
      <c r="C110" s="15"/>
      <c r="D110" s="26"/>
      <c r="E110" s="101" t="s">
        <v>184</v>
      </c>
      <c r="F110" s="96">
        <f>2%*D109</f>
        <v>6.0190000000000001</v>
      </c>
      <c r="G110" s="97">
        <f>8%*D109</f>
        <v>24.076000000000001</v>
      </c>
      <c r="H110" s="96">
        <f>SUM(F110:G110)</f>
        <v>30.094999999999999</v>
      </c>
      <c r="I110" s="97">
        <v>0</v>
      </c>
      <c r="J110" s="97"/>
      <c r="K110" s="97">
        <v>6</v>
      </c>
      <c r="L110" s="97">
        <v>6</v>
      </c>
      <c r="M110" s="97">
        <f t="shared" si="30"/>
        <v>12</v>
      </c>
      <c r="N110" s="35"/>
      <c r="O110" s="40"/>
      <c r="P110" s="238">
        <f t="shared" si="31"/>
        <v>86673599.999999985</v>
      </c>
      <c r="Q110" s="16"/>
    </row>
    <row r="111" spans="1:20" ht="32.25" customHeight="1" x14ac:dyDescent="0.3">
      <c r="A111" s="16"/>
      <c r="B111" s="98" t="s">
        <v>58</v>
      </c>
      <c r="C111" s="99" t="s">
        <v>42</v>
      </c>
      <c r="D111" s="26">
        <v>277.5</v>
      </c>
      <c r="E111" s="101" t="s">
        <v>203</v>
      </c>
      <c r="F111" s="96">
        <f>2%*D111</f>
        <v>5.55</v>
      </c>
      <c r="G111" s="97">
        <f>9%*D111</f>
        <v>24.974999999999998</v>
      </c>
      <c r="H111" s="96">
        <f t="shared" si="29"/>
        <v>30.524999999999999</v>
      </c>
      <c r="I111" s="97">
        <v>0</v>
      </c>
      <c r="J111" s="97"/>
      <c r="K111" s="97">
        <v>6</v>
      </c>
      <c r="L111" s="97">
        <v>8</v>
      </c>
      <c r="M111" s="97">
        <f t="shared" si="30"/>
        <v>14</v>
      </c>
      <c r="N111" s="35"/>
      <c r="O111" s="40" t="s">
        <v>137</v>
      </c>
      <c r="P111" s="238">
        <f t="shared" si="31"/>
        <v>89909999.999999985</v>
      </c>
      <c r="Q111" s="16"/>
      <c r="S111" s="1" t="s">
        <v>593</v>
      </c>
    </row>
    <row r="112" spans="1:20" ht="18.75" customHeight="1" x14ac:dyDescent="0.3">
      <c r="A112" s="16"/>
      <c r="B112" s="14"/>
      <c r="C112" s="15"/>
      <c r="D112" s="26"/>
      <c r="E112" s="101" t="s">
        <v>184</v>
      </c>
      <c r="F112" s="96">
        <f>3%*D111</f>
        <v>8.3249999999999993</v>
      </c>
      <c r="G112" s="97">
        <f>9%*D111</f>
        <v>24.974999999999998</v>
      </c>
      <c r="H112" s="96">
        <f>SUM(F112:G112)</f>
        <v>33.299999999999997</v>
      </c>
      <c r="I112" s="97"/>
      <c r="J112" s="97"/>
      <c r="K112" s="97">
        <v>4</v>
      </c>
      <c r="L112" s="97">
        <v>4</v>
      </c>
      <c r="M112" s="97">
        <f t="shared" si="30"/>
        <v>8</v>
      </c>
      <c r="N112" s="35"/>
      <c r="O112" s="40"/>
      <c r="P112" s="238">
        <f t="shared" si="31"/>
        <v>89909999.999999985</v>
      </c>
      <c r="Q112" s="16"/>
      <c r="S112" s="1" t="s">
        <v>594</v>
      </c>
    </row>
    <row r="113" spans="1:19" ht="27.75" customHeight="1" x14ac:dyDescent="0.3">
      <c r="A113" s="16"/>
      <c r="B113" s="14" t="s">
        <v>59</v>
      </c>
      <c r="C113" s="15" t="s">
        <v>21</v>
      </c>
      <c r="D113" s="18">
        <v>162.94999999999999</v>
      </c>
      <c r="E113" s="101" t="s">
        <v>203</v>
      </c>
      <c r="F113" s="225">
        <f>4%*D113</f>
        <v>6.5179999999999998</v>
      </c>
      <c r="G113" s="225">
        <f>9%*D113</f>
        <v>14.665499999999998</v>
      </c>
      <c r="H113" s="96">
        <f t="shared" si="29"/>
        <v>21.183499999999999</v>
      </c>
      <c r="I113" s="97">
        <v>0</v>
      </c>
      <c r="J113" s="97"/>
      <c r="K113" s="97">
        <v>6</v>
      </c>
      <c r="L113" s="97">
        <v>9</v>
      </c>
      <c r="M113" s="97">
        <f t="shared" si="30"/>
        <v>15</v>
      </c>
      <c r="N113" s="35"/>
      <c r="O113" s="36"/>
      <c r="P113" s="238">
        <f t="shared" si="31"/>
        <v>52795799.999999993</v>
      </c>
      <c r="Q113" s="16"/>
      <c r="S113" s="1" t="s">
        <v>595</v>
      </c>
    </row>
    <row r="114" spans="1:19" ht="24" customHeight="1" x14ac:dyDescent="0.3">
      <c r="A114" s="16"/>
      <c r="B114" s="14" t="s">
        <v>60</v>
      </c>
      <c r="C114" s="15" t="s">
        <v>43</v>
      </c>
      <c r="D114" s="26">
        <v>461.8</v>
      </c>
      <c r="E114" s="101" t="s">
        <v>221</v>
      </c>
      <c r="F114" s="96">
        <f>5%*D114</f>
        <v>23.090000000000003</v>
      </c>
      <c r="G114" s="97">
        <f>13%*D114</f>
        <v>60.034000000000006</v>
      </c>
      <c r="H114" s="96">
        <f t="shared" si="29"/>
        <v>83.124000000000009</v>
      </c>
      <c r="I114" s="97">
        <v>0</v>
      </c>
      <c r="J114" s="97"/>
      <c r="K114" s="97">
        <v>10</v>
      </c>
      <c r="L114" s="97">
        <v>6</v>
      </c>
      <c r="M114" s="97">
        <f t="shared" si="30"/>
        <v>16</v>
      </c>
      <c r="N114" s="35"/>
      <c r="O114" s="36"/>
      <c r="P114" s="238">
        <f t="shared" si="31"/>
        <v>216122400</v>
      </c>
      <c r="Q114" s="16"/>
    </row>
    <row r="115" spans="1:19" ht="21" customHeight="1" x14ac:dyDescent="0.3">
      <c r="A115" s="16"/>
      <c r="B115" s="14"/>
      <c r="C115" s="15"/>
      <c r="D115" s="26"/>
      <c r="E115" s="101" t="s">
        <v>184</v>
      </c>
      <c r="F115" s="96">
        <f>3%*D114</f>
        <v>13.853999999999999</v>
      </c>
      <c r="G115" s="96">
        <f>9%*D114</f>
        <v>41.561999999999998</v>
      </c>
      <c r="H115" s="96">
        <f>SUM(F115:G115)</f>
        <v>55.415999999999997</v>
      </c>
      <c r="I115" s="97"/>
      <c r="J115" s="97"/>
      <c r="K115" s="97"/>
      <c r="L115" s="97">
        <v>2</v>
      </c>
      <c r="M115" s="97">
        <f t="shared" si="30"/>
        <v>2</v>
      </c>
      <c r="N115" s="35"/>
      <c r="O115" s="36"/>
      <c r="P115" s="238">
        <f t="shared" si="31"/>
        <v>149623199.99999997</v>
      </c>
      <c r="Q115" s="16"/>
    </row>
    <row r="116" spans="1:19" ht="29.25" customHeight="1" x14ac:dyDescent="0.3">
      <c r="A116" s="16"/>
      <c r="B116" s="14" t="s">
        <v>61</v>
      </c>
      <c r="C116" s="15" t="s">
        <v>44</v>
      </c>
      <c r="D116" s="26">
        <v>84.65</v>
      </c>
      <c r="E116" s="101" t="s">
        <v>203</v>
      </c>
      <c r="F116" s="26">
        <f>2%*D116</f>
        <v>1.6930000000000001</v>
      </c>
      <c r="G116" s="220">
        <f>12%*D116</f>
        <v>10.157999999999999</v>
      </c>
      <c r="H116" s="26">
        <f t="shared" si="29"/>
        <v>11.850999999999999</v>
      </c>
      <c r="I116" s="19">
        <v>0</v>
      </c>
      <c r="J116" s="19"/>
      <c r="K116" s="19"/>
      <c r="L116" s="19">
        <v>9</v>
      </c>
      <c r="M116" s="19">
        <f t="shared" si="30"/>
        <v>9</v>
      </c>
      <c r="N116" s="35"/>
      <c r="O116" s="36"/>
      <c r="P116" s="238">
        <f t="shared" si="31"/>
        <v>36568799.999999993</v>
      </c>
      <c r="Q116" s="16"/>
    </row>
    <row r="117" spans="1:19" ht="22.5" customHeight="1" x14ac:dyDescent="0.3">
      <c r="A117" s="75"/>
      <c r="B117" s="72" t="s">
        <v>350</v>
      </c>
      <c r="C117" s="72"/>
      <c r="D117" s="73">
        <f>SUM(D109:D116)</f>
        <v>1287.8500000000001</v>
      </c>
      <c r="E117" s="74"/>
      <c r="F117" s="73">
        <f>SUM(F109:F116)</f>
        <v>74.077500000000001</v>
      </c>
      <c r="G117" s="83">
        <f>SUM(G109:G116)</f>
        <v>287.721</v>
      </c>
      <c r="H117" s="73">
        <f>SUM(H91:H116)</f>
        <v>491.72950000000003</v>
      </c>
      <c r="I117" s="83">
        <f>SUM(I101:I116)</f>
        <v>0</v>
      </c>
      <c r="J117" s="83">
        <f>SUM(J101:J116)</f>
        <v>0</v>
      </c>
      <c r="K117" s="83">
        <f>SUM(K101:K116)</f>
        <v>37</v>
      </c>
      <c r="L117" s="83">
        <f>SUM(L101:L116)</f>
        <v>92</v>
      </c>
      <c r="M117" s="83">
        <f>SUM(M98:M116)</f>
        <v>126</v>
      </c>
      <c r="N117" s="76"/>
      <c r="O117" s="77"/>
      <c r="P117" s="184">
        <f>SUM(P108:P116)</f>
        <v>1035795600</v>
      </c>
      <c r="Q117" s="75"/>
    </row>
    <row r="118" spans="1:19" ht="4.5" customHeight="1" x14ac:dyDescent="0.3">
      <c r="F118" s="2">
        <f>SUM(F109:F117)</f>
        <v>148.155</v>
      </c>
      <c r="G118" s="2"/>
      <c r="H118" s="2"/>
      <c r="I118" s="2"/>
      <c r="J118" s="2"/>
      <c r="K118" s="2"/>
      <c r="L118" s="2"/>
      <c r="M118" s="2"/>
    </row>
    <row r="119" spans="1:19" ht="4.5" customHeight="1" x14ac:dyDescent="0.3">
      <c r="F119" s="2"/>
      <c r="G119" s="2"/>
      <c r="H119" s="2"/>
      <c r="I119" s="2"/>
      <c r="J119" s="2"/>
      <c r="K119" s="2"/>
      <c r="L119" s="2"/>
      <c r="M119" s="2"/>
    </row>
    <row r="120" spans="1:19" ht="4.5" customHeight="1" x14ac:dyDescent="0.3">
      <c r="F120" s="2"/>
      <c r="G120" s="2"/>
      <c r="H120" s="2"/>
      <c r="I120" s="2"/>
      <c r="J120" s="2"/>
      <c r="K120" s="2"/>
      <c r="L120" s="2"/>
      <c r="M120" s="2"/>
    </row>
    <row r="121" spans="1:19" ht="16.5" customHeight="1" x14ac:dyDescent="0.3">
      <c r="F121" s="2"/>
      <c r="G121" s="2"/>
      <c r="H121" s="2"/>
      <c r="I121" s="2"/>
      <c r="J121" s="2" t="s">
        <v>685</v>
      </c>
      <c r="K121" s="2"/>
      <c r="L121" s="2"/>
      <c r="M121" s="2"/>
    </row>
    <row r="122" spans="1:19" ht="12" customHeight="1" x14ac:dyDescent="0.3">
      <c r="A122" s="395" t="s">
        <v>80</v>
      </c>
      <c r="B122" s="395"/>
      <c r="C122" s="395"/>
      <c r="D122" s="395"/>
    </row>
    <row r="123" spans="1:19" x14ac:dyDescent="0.3">
      <c r="A123" s="395" t="s">
        <v>81</v>
      </c>
      <c r="B123" s="395"/>
      <c r="C123" s="395"/>
      <c r="D123" s="395"/>
      <c r="J123" s="1" t="s">
        <v>85</v>
      </c>
    </row>
    <row r="124" spans="1:19" x14ac:dyDescent="0.3">
      <c r="A124" s="395" t="s">
        <v>82</v>
      </c>
      <c r="B124" s="395"/>
      <c r="C124" s="395"/>
      <c r="D124" s="395"/>
      <c r="J124" s="3" t="s">
        <v>86</v>
      </c>
      <c r="K124" s="1" t="s">
        <v>175</v>
      </c>
      <c r="O124" s="1" t="s">
        <v>90</v>
      </c>
    </row>
    <row r="125" spans="1:19" x14ac:dyDescent="0.3">
      <c r="A125" s="395" t="s">
        <v>83</v>
      </c>
      <c r="B125" s="395"/>
      <c r="C125" s="395"/>
      <c r="D125" s="395"/>
      <c r="K125" s="1" t="s">
        <v>651</v>
      </c>
    </row>
    <row r="126" spans="1:19" ht="9.75" customHeight="1" x14ac:dyDescent="0.3"/>
    <row r="127" spans="1:19" ht="14.25" customHeight="1" x14ac:dyDescent="0.3">
      <c r="J127" s="3" t="s">
        <v>88</v>
      </c>
      <c r="K127" s="1" t="s">
        <v>87</v>
      </c>
      <c r="O127" s="1" t="s">
        <v>90</v>
      </c>
    </row>
    <row r="128" spans="1:19" x14ac:dyDescent="0.3">
      <c r="K128" s="1" t="s">
        <v>91</v>
      </c>
    </row>
    <row r="129" spans="1:15" ht="13.5" customHeight="1" x14ac:dyDescent="0.3">
      <c r="A129" s="398" t="s">
        <v>175</v>
      </c>
      <c r="B129" s="398"/>
      <c r="C129" s="398"/>
      <c r="D129" s="398"/>
    </row>
    <row r="130" spans="1:15" x14ac:dyDescent="0.3">
      <c r="A130" s="395" t="s">
        <v>190</v>
      </c>
      <c r="B130" s="395"/>
      <c r="C130" s="395"/>
      <c r="D130" s="395"/>
      <c r="J130" s="1" t="s">
        <v>254</v>
      </c>
      <c r="K130" s="1" t="s">
        <v>89</v>
      </c>
      <c r="O130" s="1" t="s">
        <v>90</v>
      </c>
    </row>
    <row r="131" spans="1:15" x14ac:dyDescent="0.3">
      <c r="K131" s="1" t="s">
        <v>92</v>
      </c>
    </row>
    <row r="132" spans="1:15" ht="8.25" customHeight="1" x14ac:dyDescent="0.3"/>
    <row r="133" spans="1:15" x14ac:dyDescent="0.3">
      <c r="J133" s="241" t="s">
        <v>265</v>
      </c>
      <c r="K133" s="1" t="s">
        <v>652</v>
      </c>
      <c r="O133" s="1" t="s">
        <v>90</v>
      </c>
    </row>
    <row r="134" spans="1:15" ht="14.25" customHeight="1" x14ac:dyDescent="0.3">
      <c r="J134" s="241"/>
      <c r="K134" s="1" t="s">
        <v>658</v>
      </c>
    </row>
    <row r="135" spans="1:15" ht="5.25" customHeight="1" x14ac:dyDescent="0.3">
      <c r="J135" s="241"/>
    </row>
    <row r="136" spans="1:15" x14ac:dyDescent="0.3">
      <c r="J136" s="241" t="s">
        <v>650</v>
      </c>
      <c r="K136" s="1" t="s">
        <v>255</v>
      </c>
      <c r="O136" s="1" t="s">
        <v>90</v>
      </c>
    </row>
    <row r="137" spans="1:15" x14ac:dyDescent="0.3">
      <c r="K137" s="1" t="s">
        <v>654</v>
      </c>
    </row>
  </sheetData>
  <mergeCells count="24">
    <mergeCell ref="A129:D129"/>
    <mergeCell ref="A130:D130"/>
    <mergeCell ref="O50:O62"/>
    <mergeCell ref="O64:O69"/>
    <mergeCell ref="A122:D122"/>
    <mergeCell ref="A123:D123"/>
    <mergeCell ref="A124:D124"/>
    <mergeCell ref="A125:D125"/>
    <mergeCell ref="O42:O48"/>
    <mergeCell ref="A1:Q1"/>
    <mergeCell ref="A2:Q2"/>
    <mergeCell ref="A6:A7"/>
    <mergeCell ref="B6:C6"/>
    <mergeCell ref="D6:D7"/>
    <mergeCell ref="E6:E7"/>
    <mergeCell ref="F6:H6"/>
    <mergeCell ref="I6:M6"/>
    <mergeCell ref="N6:O7"/>
    <mergeCell ref="P6:P7"/>
    <mergeCell ref="Q6:Q7"/>
    <mergeCell ref="B7:C7"/>
    <mergeCell ref="B24:C24"/>
    <mergeCell ref="O32:O35"/>
    <mergeCell ref="B40:C40"/>
  </mergeCells>
  <pageMargins left="0.36" right="0.70866141732283472" top="0.47" bottom="0.74803149606299213" header="0.31496062992125984" footer="0.31496062992125984"/>
  <pageSetup paperSize="5" scale="90" orientation="landscape" horizontalDpi="4294967293"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V148"/>
  <sheetViews>
    <sheetView view="pageBreakPreview" topLeftCell="A136" zoomScale="96" zoomScaleNormal="100" zoomScaleSheetLayoutView="96" workbookViewId="0">
      <selection activeCell="H134" activeCellId="1" sqref="J133 H134"/>
    </sheetView>
  </sheetViews>
  <sheetFormatPr defaultColWidth="9.1796875" defaultRowHeight="14" x14ac:dyDescent="0.3"/>
  <cols>
    <col min="1" max="1" width="4.81640625" style="1" customWidth="1"/>
    <col min="2" max="2" width="2.1796875" style="1" customWidth="1"/>
    <col min="3" max="3" width="17.54296875" style="1" customWidth="1"/>
    <col min="4" max="4" width="12" style="1" customWidth="1"/>
    <col min="5" max="5" width="31.453125" style="1" customWidth="1"/>
    <col min="6" max="6" width="11" style="1" bestFit="1" customWidth="1"/>
    <col min="7" max="7" width="8.81640625" style="1" customWidth="1"/>
    <col min="8" max="8" width="9" style="1" customWidth="1"/>
    <col min="9" max="9" width="6.7265625" style="1" customWidth="1"/>
    <col min="10" max="10" width="7" style="1" customWidth="1"/>
    <col min="11" max="12" width="7.54296875" style="1" customWidth="1"/>
    <col min="13" max="13" width="6.81640625" style="1" bestFit="1" customWidth="1"/>
    <col min="14" max="14" width="2" style="1" customWidth="1"/>
    <col min="15" max="15" width="17" style="1" customWidth="1"/>
    <col min="16" max="16" width="15" style="1" customWidth="1"/>
    <col min="17" max="17" width="8.81640625" style="1" customWidth="1"/>
    <col min="18" max="19" width="9.1796875" style="1"/>
    <col min="20" max="20" width="10.7265625" style="1" customWidth="1"/>
    <col min="21" max="16384" width="9.1796875" style="1"/>
  </cols>
  <sheetData>
    <row r="1" spans="1:20" x14ac:dyDescent="0.3">
      <c r="A1" s="385" t="s">
        <v>260</v>
      </c>
      <c r="B1" s="385"/>
      <c r="C1" s="385"/>
      <c r="D1" s="385"/>
      <c r="E1" s="385"/>
      <c r="F1" s="385"/>
      <c r="G1" s="385"/>
      <c r="H1" s="385"/>
      <c r="I1" s="385"/>
      <c r="J1" s="385"/>
      <c r="K1" s="385"/>
      <c r="L1" s="385"/>
      <c r="M1" s="385"/>
      <c r="N1" s="385"/>
      <c r="O1" s="385"/>
      <c r="P1" s="385"/>
      <c r="Q1" s="385"/>
    </row>
    <row r="2" spans="1:20" ht="14.25" customHeight="1" x14ac:dyDescent="0.3">
      <c r="A2" s="385" t="s">
        <v>646</v>
      </c>
      <c r="B2" s="385"/>
      <c r="C2" s="385"/>
      <c r="D2" s="385"/>
      <c r="E2" s="385"/>
      <c r="F2" s="385"/>
      <c r="G2" s="385"/>
      <c r="H2" s="385"/>
      <c r="I2" s="385"/>
      <c r="J2" s="385"/>
      <c r="K2" s="385"/>
      <c r="L2" s="385"/>
      <c r="M2" s="385"/>
      <c r="N2" s="385"/>
      <c r="O2" s="385"/>
      <c r="P2" s="385"/>
      <c r="Q2" s="385"/>
    </row>
    <row r="3" spans="1:20" ht="14.25" customHeight="1" x14ac:dyDescent="0.3">
      <c r="A3" s="1" t="s">
        <v>1</v>
      </c>
      <c r="C3" s="1" t="s">
        <v>603</v>
      </c>
    </row>
    <row r="4" spans="1:20" ht="14.25" customHeight="1" x14ac:dyDescent="0.3">
      <c r="A4" s="1" t="s">
        <v>2</v>
      </c>
      <c r="C4" s="1" t="s">
        <v>700</v>
      </c>
      <c r="D4" s="4"/>
    </row>
    <row r="5" spans="1:20" ht="6" customHeight="1" x14ac:dyDescent="0.3"/>
    <row r="6" spans="1:20" ht="19.5" customHeight="1" x14ac:dyDescent="0.3">
      <c r="A6" s="386" t="s">
        <v>3</v>
      </c>
      <c r="B6" s="388" t="s">
        <v>4</v>
      </c>
      <c r="C6" s="388"/>
      <c r="D6" s="391" t="s">
        <v>259</v>
      </c>
      <c r="E6" s="391" t="s">
        <v>7</v>
      </c>
      <c r="F6" s="393" t="s">
        <v>170</v>
      </c>
      <c r="G6" s="393"/>
      <c r="H6" s="393"/>
      <c r="I6" s="393" t="s">
        <v>12</v>
      </c>
      <c r="J6" s="393"/>
      <c r="K6" s="393"/>
      <c r="L6" s="393"/>
      <c r="M6" s="393"/>
      <c r="N6" s="391" t="s">
        <v>17</v>
      </c>
      <c r="O6" s="391"/>
      <c r="P6" s="391" t="s">
        <v>258</v>
      </c>
      <c r="Q6" s="386" t="s">
        <v>192</v>
      </c>
    </row>
    <row r="7" spans="1:20" ht="24.75" customHeight="1" x14ac:dyDescent="0.3">
      <c r="A7" s="387"/>
      <c r="B7" s="394" t="s">
        <v>5</v>
      </c>
      <c r="C7" s="394"/>
      <c r="D7" s="392"/>
      <c r="E7" s="392"/>
      <c r="F7" s="147" t="s">
        <v>9</v>
      </c>
      <c r="G7" s="147" t="s">
        <v>10</v>
      </c>
      <c r="H7" s="147" t="s">
        <v>11</v>
      </c>
      <c r="I7" s="147" t="s">
        <v>16</v>
      </c>
      <c r="J7" s="147" t="s">
        <v>13</v>
      </c>
      <c r="K7" s="147" t="s">
        <v>14</v>
      </c>
      <c r="L7" s="148" t="s">
        <v>257</v>
      </c>
      <c r="M7" s="147" t="s">
        <v>11</v>
      </c>
      <c r="N7" s="392"/>
      <c r="O7" s="392"/>
      <c r="P7" s="392"/>
      <c r="Q7" s="387"/>
    </row>
    <row r="8" spans="1:20" ht="6" customHeight="1" x14ac:dyDescent="0.3">
      <c r="A8" s="5"/>
      <c r="B8" s="8"/>
      <c r="C8" s="10"/>
      <c r="D8" s="5"/>
      <c r="E8" s="5"/>
      <c r="F8" s="5"/>
      <c r="G8" s="5"/>
      <c r="H8" s="5"/>
      <c r="I8" s="5"/>
      <c r="J8" s="5"/>
      <c r="K8" s="5"/>
      <c r="L8" s="5"/>
      <c r="M8" s="5"/>
      <c r="N8" s="8"/>
      <c r="O8" s="10"/>
      <c r="P8" s="10"/>
      <c r="Q8" s="5"/>
    </row>
    <row r="9" spans="1:20" ht="18" customHeight="1" x14ac:dyDescent="0.3">
      <c r="A9" s="13">
        <v>1</v>
      </c>
      <c r="B9" s="14" t="s">
        <v>20</v>
      </c>
      <c r="C9" s="15"/>
      <c r="D9" s="16"/>
      <c r="E9" s="47"/>
      <c r="F9" s="16"/>
      <c r="G9" s="16"/>
      <c r="H9" s="16"/>
      <c r="I9" s="16"/>
      <c r="J9" s="16"/>
      <c r="K9" s="16"/>
      <c r="L9" s="16"/>
      <c r="M9" s="16"/>
      <c r="N9" s="35"/>
      <c r="O9" s="36"/>
      <c r="P9" s="226"/>
      <c r="Q9" s="16"/>
    </row>
    <row r="10" spans="1:20" ht="36.75" customHeight="1" x14ac:dyDescent="0.3">
      <c r="A10" s="13"/>
      <c r="B10" s="299" t="s">
        <v>57</v>
      </c>
      <c r="C10" s="99" t="s">
        <v>21</v>
      </c>
      <c r="D10" s="255">
        <v>450.06</v>
      </c>
      <c r="E10" s="49" t="s">
        <v>649</v>
      </c>
      <c r="F10" s="96">
        <f>1%*D10</f>
        <v>4.5006000000000004</v>
      </c>
      <c r="G10" s="96">
        <f>0.9%*D10</f>
        <v>4.0505400000000007</v>
      </c>
      <c r="H10" s="96">
        <f>SUM(F10:G10)</f>
        <v>8.5511400000000002</v>
      </c>
      <c r="I10" s="97">
        <v>0</v>
      </c>
      <c r="J10" s="97"/>
      <c r="K10" s="97"/>
      <c r="L10" s="97">
        <v>2</v>
      </c>
      <c r="M10" s="121">
        <f>SUM(I10:L10)</f>
        <v>2</v>
      </c>
      <c r="N10" s="37"/>
      <c r="O10" s="36"/>
      <c r="P10" s="227">
        <f t="shared" ref="P10:P24" si="0">G10*0.261*12%*0</f>
        <v>0</v>
      </c>
      <c r="Q10" s="16"/>
      <c r="S10" s="1" t="s">
        <v>333</v>
      </c>
      <c r="T10" s="1" t="s">
        <v>341</v>
      </c>
    </row>
    <row r="11" spans="1:20" ht="34.5" customHeight="1" x14ac:dyDescent="0.3">
      <c r="A11" s="13"/>
      <c r="B11" s="299" t="s">
        <v>58</v>
      </c>
      <c r="C11" s="99" t="s">
        <v>22</v>
      </c>
      <c r="D11" s="255">
        <v>912.82</v>
      </c>
      <c r="E11" s="49" t="s">
        <v>649</v>
      </c>
      <c r="F11" s="96">
        <f>1%*D10</f>
        <v>4.5006000000000004</v>
      </c>
      <c r="G11" s="96">
        <f>5%*D10</f>
        <v>22.503</v>
      </c>
      <c r="H11" s="96">
        <f>SUM(F11:G11)</f>
        <v>27.003599999999999</v>
      </c>
      <c r="I11" s="97">
        <v>0</v>
      </c>
      <c r="J11" s="97"/>
      <c r="K11" s="97"/>
      <c r="L11" s="97">
        <v>3</v>
      </c>
      <c r="M11" s="121">
        <f t="shared" ref="M11:M23" si="1">SUM(I11:L11)</f>
        <v>3</v>
      </c>
      <c r="N11" s="256" t="s">
        <v>51</v>
      </c>
      <c r="O11" s="38" t="s">
        <v>50</v>
      </c>
      <c r="P11" s="227">
        <f t="shared" si="0"/>
        <v>0</v>
      </c>
      <c r="Q11" s="16"/>
    </row>
    <row r="12" spans="1:20" ht="28.5" customHeight="1" x14ac:dyDescent="0.3">
      <c r="A12" s="13"/>
      <c r="B12" s="122" t="s">
        <v>59</v>
      </c>
      <c r="C12" s="123" t="s">
        <v>27</v>
      </c>
      <c r="D12" s="255">
        <v>163.44999999999999</v>
      </c>
      <c r="E12" s="49" t="s">
        <v>649</v>
      </c>
      <c r="F12" s="96">
        <f>1%*D10</f>
        <v>4.5006000000000004</v>
      </c>
      <c r="G12" s="96">
        <f>0.5%*D10</f>
        <v>2.2503000000000002</v>
      </c>
      <c r="H12" s="96">
        <f>SUM(F12:G12)</f>
        <v>6.7509000000000006</v>
      </c>
      <c r="I12" s="97">
        <v>0</v>
      </c>
      <c r="J12" s="97"/>
      <c r="K12" s="97"/>
      <c r="L12" s="97">
        <v>5</v>
      </c>
      <c r="M12" s="121">
        <f t="shared" si="1"/>
        <v>5</v>
      </c>
      <c r="N12" s="37" t="s">
        <v>51</v>
      </c>
      <c r="O12" s="36" t="s">
        <v>678</v>
      </c>
      <c r="P12" s="227">
        <f t="shared" si="0"/>
        <v>0</v>
      </c>
      <c r="Q12" s="16"/>
      <c r="S12" s="1" t="s">
        <v>343</v>
      </c>
    </row>
    <row r="13" spans="1:20" ht="31.5" customHeight="1" x14ac:dyDescent="0.3">
      <c r="A13" s="102"/>
      <c r="B13" s="299" t="s">
        <v>60</v>
      </c>
      <c r="C13" s="99" t="s">
        <v>42</v>
      </c>
      <c r="D13" s="255">
        <v>564.78</v>
      </c>
      <c r="E13" s="49" t="s">
        <v>649</v>
      </c>
      <c r="F13" s="96">
        <f>10%*D10</f>
        <v>45.006</v>
      </c>
      <c r="G13" s="96">
        <f>3%*D10</f>
        <v>13.501799999999999</v>
      </c>
      <c r="H13" s="96">
        <f>SUM(F13:G13)</f>
        <v>58.507800000000003</v>
      </c>
      <c r="I13" s="97">
        <v>0</v>
      </c>
      <c r="J13" s="97">
        <v>0</v>
      </c>
      <c r="K13" s="97">
        <v>0</v>
      </c>
      <c r="L13" s="97">
        <v>6</v>
      </c>
      <c r="M13" s="121">
        <f t="shared" si="1"/>
        <v>6</v>
      </c>
      <c r="N13" s="256" t="s">
        <v>51</v>
      </c>
      <c r="O13" s="169" t="s">
        <v>48</v>
      </c>
      <c r="P13" s="228">
        <f t="shared" si="0"/>
        <v>0</v>
      </c>
      <c r="Q13" s="257"/>
      <c r="S13" s="1" t="s">
        <v>342</v>
      </c>
    </row>
    <row r="14" spans="1:20" ht="31.5" customHeight="1" x14ac:dyDescent="0.3">
      <c r="A14" s="286"/>
      <c r="B14" s="295"/>
      <c r="C14" s="296"/>
      <c r="D14" s="297">
        <f>SUM(D10:D13)</f>
        <v>2091.11</v>
      </c>
      <c r="E14" s="288"/>
      <c r="F14" s="297">
        <f t="shared" ref="F14:M14" si="2">SUM(F10:F13)</f>
        <v>58.507800000000003</v>
      </c>
      <c r="G14" s="297">
        <f t="shared" si="2"/>
        <v>42.305639999999997</v>
      </c>
      <c r="H14" s="297">
        <f t="shared" si="2"/>
        <v>100.81344</v>
      </c>
      <c r="I14" s="297">
        <f t="shared" si="2"/>
        <v>0</v>
      </c>
      <c r="J14" s="297">
        <f t="shared" si="2"/>
        <v>0</v>
      </c>
      <c r="K14" s="297">
        <f t="shared" si="2"/>
        <v>0</v>
      </c>
      <c r="L14" s="297">
        <f t="shared" si="2"/>
        <v>16</v>
      </c>
      <c r="M14" s="297">
        <f t="shared" si="2"/>
        <v>16</v>
      </c>
      <c r="N14" s="290"/>
      <c r="O14" s="291"/>
      <c r="P14" s="292"/>
      <c r="Q14" s="293"/>
    </row>
    <row r="15" spans="1:20" ht="24.75" customHeight="1" x14ac:dyDescent="0.3">
      <c r="A15" s="13"/>
      <c r="B15" s="299" t="s">
        <v>57</v>
      </c>
      <c r="C15" s="99" t="s">
        <v>21</v>
      </c>
      <c r="D15" s="255">
        <v>450.06</v>
      </c>
      <c r="E15" s="47" t="s">
        <v>37</v>
      </c>
      <c r="F15" s="26">
        <f>2%*D15</f>
        <v>9.0012000000000008</v>
      </c>
      <c r="G15" s="26">
        <f>0.5%*D15</f>
        <v>2.2503000000000002</v>
      </c>
      <c r="H15" s="26">
        <f>SUM(F15:G15)</f>
        <v>11.2515</v>
      </c>
      <c r="I15" s="19">
        <v>0</v>
      </c>
      <c r="J15" s="19"/>
      <c r="K15" s="19"/>
      <c r="L15" s="19">
        <v>5</v>
      </c>
      <c r="M15" s="20">
        <f t="shared" si="1"/>
        <v>5</v>
      </c>
      <c r="N15" s="35" t="s">
        <v>51</v>
      </c>
      <c r="O15" s="41" t="s">
        <v>137</v>
      </c>
      <c r="P15" s="227">
        <f t="shared" si="0"/>
        <v>0</v>
      </c>
      <c r="Q15" s="16"/>
    </row>
    <row r="16" spans="1:20" ht="18.75" customHeight="1" x14ac:dyDescent="0.3">
      <c r="A16" s="13"/>
      <c r="B16" s="299" t="s">
        <v>58</v>
      </c>
      <c r="C16" s="99" t="s">
        <v>22</v>
      </c>
      <c r="D16" s="255">
        <v>912.82</v>
      </c>
      <c r="E16" s="47" t="s">
        <v>37</v>
      </c>
      <c r="F16" s="26">
        <f>2%*D15</f>
        <v>9.0012000000000008</v>
      </c>
      <c r="G16" s="26">
        <f>5%*D15</f>
        <v>22.503</v>
      </c>
      <c r="H16" s="26">
        <f t="shared" ref="H16:H18" si="3">SUM(F16:G16)</f>
        <v>31.504200000000001</v>
      </c>
      <c r="I16" s="19">
        <v>0</v>
      </c>
      <c r="J16" s="19"/>
      <c r="K16" s="19"/>
      <c r="L16" s="19">
        <v>4</v>
      </c>
      <c r="M16" s="20">
        <f t="shared" si="1"/>
        <v>4</v>
      </c>
      <c r="N16" s="35"/>
      <c r="O16" s="36"/>
      <c r="P16" s="227">
        <f t="shared" si="0"/>
        <v>0</v>
      </c>
      <c r="Q16" s="16"/>
      <c r="S16" s="1" t="s">
        <v>344</v>
      </c>
    </row>
    <row r="17" spans="1:20" ht="18.75" customHeight="1" x14ac:dyDescent="0.3">
      <c r="A17" s="13"/>
      <c r="B17" s="122" t="s">
        <v>59</v>
      </c>
      <c r="C17" s="123" t="s">
        <v>27</v>
      </c>
      <c r="D17" s="255">
        <v>163.44999999999999</v>
      </c>
      <c r="E17" s="47" t="s">
        <v>37</v>
      </c>
      <c r="F17" s="26">
        <f>3%*D15</f>
        <v>13.501799999999999</v>
      </c>
      <c r="G17" s="26">
        <f>1%*D15</f>
        <v>4.5006000000000004</v>
      </c>
      <c r="H17" s="26">
        <f t="shared" si="3"/>
        <v>18.002400000000002</v>
      </c>
      <c r="I17" s="19">
        <v>0</v>
      </c>
      <c r="J17" s="19"/>
      <c r="K17" s="19"/>
      <c r="L17" s="19">
        <v>4</v>
      </c>
      <c r="M17" s="20">
        <f t="shared" si="1"/>
        <v>4</v>
      </c>
      <c r="N17" s="35"/>
      <c r="O17" s="36"/>
      <c r="P17" s="227">
        <f t="shared" si="0"/>
        <v>0</v>
      </c>
      <c r="Q17" s="16"/>
      <c r="S17" s="1" t="s">
        <v>345</v>
      </c>
    </row>
    <row r="18" spans="1:20" ht="17.25" customHeight="1" x14ac:dyDescent="0.3">
      <c r="A18" s="54"/>
      <c r="B18" s="299" t="s">
        <v>60</v>
      </c>
      <c r="C18" s="99" t="s">
        <v>42</v>
      </c>
      <c r="D18" s="255">
        <v>564.78</v>
      </c>
      <c r="E18" s="47" t="s">
        <v>37</v>
      </c>
      <c r="F18" s="119">
        <f>3%*D15</f>
        <v>13.501799999999999</v>
      </c>
      <c r="G18" s="119">
        <f>3%*D15</f>
        <v>13.501799999999999</v>
      </c>
      <c r="H18" s="119">
        <f t="shared" si="3"/>
        <v>27.003599999999999</v>
      </c>
      <c r="I18" s="59">
        <v>0</v>
      </c>
      <c r="J18" s="59">
        <v>0</v>
      </c>
      <c r="K18" s="59">
        <v>0</v>
      </c>
      <c r="L18" s="59">
        <v>5</v>
      </c>
      <c r="M18" s="60">
        <f t="shared" si="1"/>
        <v>5</v>
      </c>
      <c r="N18" s="42"/>
      <c r="O18" s="38"/>
      <c r="P18" s="227">
        <f t="shared" si="0"/>
        <v>0</v>
      </c>
      <c r="Q18" s="29"/>
    </row>
    <row r="19" spans="1:20" ht="17.25" customHeight="1" x14ac:dyDescent="0.3">
      <c r="A19" s="54"/>
      <c r="B19" s="298"/>
      <c r="C19" s="123"/>
      <c r="D19" s="297">
        <f>SUM(D15:D18)</f>
        <v>2091.11</v>
      </c>
      <c r="E19" s="58"/>
      <c r="F19" s="297">
        <f t="shared" ref="F19:M19" si="4">SUM(F15:F18)</f>
        <v>45.006</v>
      </c>
      <c r="G19" s="297">
        <f t="shared" si="4"/>
        <v>42.755700000000004</v>
      </c>
      <c r="H19" s="297">
        <f t="shared" si="4"/>
        <v>87.761700000000005</v>
      </c>
      <c r="I19" s="297">
        <f t="shared" si="4"/>
        <v>0</v>
      </c>
      <c r="J19" s="297">
        <f t="shared" si="4"/>
        <v>0</v>
      </c>
      <c r="K19" s="297">
        <f t="shared" si="4"/>
        <v>0</v>
      </c>
      <c r="L19" s="297">
        <f t="shared" si="4"/>
        <v>18</v>
      </c>
      <c r="M19" s="297">
        <f t="shared" si="4"/>
        <v>18</v>
      </c>
      <c r="N19" s="42"/>
      <c r="O19" s="38"/>
      <c r="P19" s="227"/>
      <c r="Q19" s="29"/>
    </row>
    <row r="20" spans="1:20" ht="21" customHeight="1" x14ac:dyDescent="0.3">
      <c r="A20" s="54"/>
      <c r="B20" s="299" t="s">
        <v>57</v>
      </c>
      <c r="C20" s="99" t="s">
        <v>21</v>
      </c>
      <c r="D20" s="255">
        <v>450.06</v>
      </c>
      <c r="E20" s="47" t="s">
        <v>38</v>
      </c>
      <c r="F20" s="26">
        <f>14%*D20</f>
        <v>63.008400000000009</v>
      </c>
      <c r="G20" s="26">
        <f>9%*F20</f>
        <v>5.6707560000000008</v>
      </c>
      <c r="H20" s="26">
        <f>SUM(F20:G20)</f>
        <v>68.679156000000006</v>
      </c>
      <c r="I20" s="19">
        <v>0</v>
      </c>
      <c r="J20" s="19"/>
      <c r="K20" s="19"/>
      <c r="L20" s="19">
        <v>6</v>
      </c>
      <c r="M20" s="20">
        <f t="shared" si="1"/>
        <v>6</v>
      </c>
      <c r="N20" s="42"/>
      <c r="O20" s="38"/>
      <c r="P20" s="227">
        <f t="shared" si="0"/>
        <v>0</v>
      </c>
      <c r="Q20" s="29"/>
    </row>
    <row r="21" spans="1:20" ht="18.75" customHeight="1" x14ac:dyDescent="0.3">
      <c r="A21" s="54"/>
      <c r="B21" s="299" t="s">
        <v>58</v>
      </c>
      <c r="C21" s="99" t="s">
        <v>22</v>
      </c>
      <c r="D21" s="255">
        <v>912.82</v>
      </c>
      <c r="E21" s="47" t="s">
        <v>38</v>
      </c>
      <c r="F21" s="26">
        <f>3%*D20</f>
        <v>13.501799999999999</v>
      </c>
      <c r="G21" s="26">
        <f>2%*D20</f>
        <v>9.0012000000000008</v>
      </c>
      <c r="H21" s="26">
        <f t="shared" ref="H21:H22" si="5">SUM(F21:G21)</f>
        <v>22.503</v>
      </c>
      <c r="I21" s="19">
        <v>0</v>
      </c>
      <c r="J21" s="19"/>
      <c r="K21" s="19"/>
      <c r="L21" s="19">
        <v>6</v>
      </c>
      <c r="M21" s="20">
        <f t="shared" si="1"/>
        <v>6</v>
      </c>
      <c r="N21" s="42"/>
      <c r="O21" s="38"/>
      <c r="P21" s="227">
        <f t="shared" si="0"/>
        <v>0</v>
      </c>
      <c r="Q21" s="29"/>
    </row>
    <row r="22" spans="1:20" ht="21.75" customHeight="1" x14ac:dyDescent="0.3">
      <c r="A22" s="54"/>
      <c r="B22" s="122" t="s">
        <v>59</v>
      </c>
      <c r="C22" s="123" t="s">
        <v>27</v>
      </c>
      <c r="D22" s="255">
        <v>163.44999999999999</v>
      </c>
      <c r="E22" s="47" t="s">
        <v>38</v>
      </c>
      <c r="F22" s="26">
        <f>2%*D20</f>
        <v>9.0012000000000008</v>
      </c>
      <c r="G22" s="26">
        <f>2%*D20</f>
        <v>9.0012000000000008</v>
      </c>
      <c r="H22" s="26">
        <f t="shared" si="5"/>
        <v>18.002400000000002</v>
      </c>
      <c r="I22" s="19">
        <v>0</v>
      </c>
      <c r="J22" s="19"/>
      <c r="K22" s="19"/>
      <c r="L22" s="19">
        <v>4</v>
      </c>
      <c r="M22" s="20">
        <f t="shared" si="1"/>
        <v>4</v>
      </c>
      <c r="N22" s="42"/>
      <c r="O22" s="38"/>
      <c r="P22" s="227">
        <f t="shared" si="0"/>
        <v>0</v>
      </c>
      <c r="Q22" s="29"/>
    </row>
    <row r="23" spans="1:20" ht="20.25" customHeight="1" x14ac:dyDescent="0.3">
      <c r="A23" s="13"/>
      <c r="B23" s="299" t="s">
        <v>60</v>
      </c>
      <c r="C23" s="99" t="s">
        <v>42</v>
      </c>
      <c r="D23" s="255">
        <v>564.78</v>
      </c>
      <c r="E23" s="47" t="s">
        <v>38</v>
      </c>
      <c r="F23" s="26">
        <f>26%*D20</f>
        <v>117.01560000000001</v>
      </c>
      <c r="G23" s="26">
        <f>4%*D23</f>
        <v>22.591200000000001</v>
      </c>
      <c r="H23" s="26">
        <f>SUM(F23:G23)</f>
        <v>139.60680000000002</v>
      </c>
      <c r="I23" s="19">
        <v>0</v>
      </c>
      <c r="J23" s="19"/>
      <c r="K23" s="19"/>
      <c r="L23" s="19">
        <v>6</v>
      </c>
      <c r="M23" s="20">
        <f t="shared" si="1"/>
        <v>6</v>
      </c>
      <c r="N23" s="35"/>
      <c r="O23" s="36"/>
      <c r="P23" s="227">
        <f t="shared" si="0"/>
        <v>0</v>
      </c>
      <c r="Q23" s="29"/>
    </row>
    <row r="24" spans="1:20" ht="24.75" customHeight="1" x14ac:dyDescent="0.3">
      <c r="A24" s="13"/>
      <c r="B24" s="298"/>
      <c r="C24" s="123"/>
      <c r="D24" s="297">
        <f>SUM(D20:D23)</f>
        <v>2091.11</v>
      </c>
      <c r="E24" s="47"/>
      <c r="F24" s="297">
        <f t="shared" ref="F24:M24" si="6">SUM(F20:F23)</f>
        <v>202.52700000000002</v>
      </c>
      <c r="G24" s="297">
        <f t="shared" si="6"/>
        <v>46.264356000000006</v>
      </c>
      <c r="H24" s="297">
        <f t="shared" si="6"/>
        <v>248.79135600000004</v>
      </c>
      <c r="I24" s="297">
        <f t="shared" si="6"/>
        <v>0</v>
      </c>
      <c r="J24" s="297">
        <f t="shared" si="6"/>
        <v>0</v>
      </c>
      <c r="K24" s="297">
        <f t="shared" si="6"/>
        <v>0</v>
      </c>
      <c r="L24" s="297">
        <f t="shared" si="6"/>
        <v>22</v>
      </c>
      <c r="M24" s="297">
        <f t="shared" si="6"/>
        <v>22</v>
      </c>
      <c r="N24" s="35"/>
      <c r="O24" s="36"/>
      <c r="P24" s="227">
        <f t="shared" si="0"/>
        <v>0</v>
      </c>
      <c r="Q24" s="29"/>
    </row>
    <row r="25" spans="1:20" ht="22.5" customHeight="1" x14ac:dyDescent="0.3">
      <c r="A25" s="13"/>
      <c r="B25" s="299" t="s">
        <v>57</v>
      </c>
      <c r="C25" s="99" t="s">
        <v>21</v>
      </c>
      <c r="D25" s="255">
        <v>450.06</v>
      </c>
      <c r="E25" s="101" t="s">
        <v>39</v>
      </c>
      <c r="F25" s="26">
        <f>14%*D25</f>
        <v>63.008400000000009</v>
      </c>
      <c r="G25" s="26">
        <f>15%*F25</f>
        <v>9.4512600000000013</v>
      </c>
      <c r="H25" s="26">
        <f>SUM(F25:G25)</f>
        <v>72.459660000000014</v>
      </c>
      <c r="I25" s="19">
        <v>0</v>
      </c>
      <c r="J25" s="19"/>
      <c r="K25" s="19"/>
      <c r="L25" s="19"/>
      <c r="M25" s="20">
        <f t="shared" ref="M25:M28" si="7">SUM(I25:L25)</f>
        <v>0</v>
      </c>
      <c r="N25" s="42"/>
      <c r="O25" s="38"/>
      <c r="P25" s="227">
        <f t="shared" ref="P25:P29" si="8">G25*0.261*12%*0</f>
        <v>0</v>
      </c>
      <c r="Q25" s="29"/>
    </row>
    <row r="26" spans="1:20" ht="25.5" customHeight="1" x14ac:dyDescent="0.3">
      <c r="A26" s="94"/>
      <c r="B26" s="299" t="s">
        <v>58</v>
      </c>
      <c r="C26" s="99" t="s">
        <v>22</v>
      </c>
      <c r="D26" s="255">
        <v>912.82</v>
      </c>
      <c r="E26" s="101" t="s">
        <v>39</v>
      </c>
      <c r="F26" s="26">
        <f>3%*D25</f>
        <v>13.501799999999999</v>
      </c>
      <c r="G26" s="26">
        <f>3.5%*D25</f>
        <v>15.752100000000002</v>
      </c>
      <c r="H26" s="26">
        <f t="shared" ref="H26:H27" si="9">SUM(F26:G26)</f>
        <v>29.253900000000002</v>
      </c>
      <c r="I26" s="19">
        <v>0</v>
      </c>
      <c r="J26" s="19"/>
      <c r="K26" s="19"/>
      <c r="L26" s="19"/>
      <c r="M26" s="20">
        <f t="shared" si="7"/>
        <v>0</v>
      </c>
      <c r="N26" s="42"/>
      <c r="O26" s="38"/>
      <c r="P26" s="227">
        <f t="shared" si="8"/>
        <v>0</v>
      </c>
      <c r="Q26" s="29"/>
    </row>
    <row r="27" spans="1:20" ht="22.5" customHeight="1" x14ac:dyDescent="0.3">
      <c r="A27" s="94"/>
      <c r="B27" s="122" t="s">
        <v>59</v>
      </c>
      <c r="C27" s="123" t="s">
        <v>27</v>
      </c>
      <c r="D27" s="255">
        <v>163.44999999999999</v>
      </c>
      <c r="E27" s="101" t="s">
        <v>39</v>
      </c>
      <c r="F27" s="26">
        <f>2%*D25</f>
        <v>9.0012000000000008</v>
      </c>
      <c r="G27" s="26">
        <f>4%*D25</f>
        <v>18.002400000000002</v>
      </c>
      <c r="H27" s="26">
        <f t="shared" si="9"/>
        <v>27.003600000000002</v>
      </c>
      <c r="I27" s="19">
        <v>0</v>
      </c>
      <c r="J27" s="19"/>
      <c r="K27" s="19"/>
      <c r="L27" s="19"/>
      <c r="M27" s="20">
        <f t="shared" si="7"/>
        <v>0</v>
      </c>
      <c r="N27" s="42"/>
      <c r="O27" s="38"/>
      <c r="P27" s="227">
        <f t="shared" si="8"/>
        <v>0</v>
      </c>
      <c r="Q27" s="29"/>
    </row>
    <row r="28" spans="1:20" ht="20.25" customHeight="1" x14ac:dyDescent="0.3">
      <c r="A28" s="94"/>
      <c r="B28" s="299" t="s">
        <v>60</v>
      </c>
      <c r="C28" s="99" t="s">
        <v>42</v>
      </c>
      <c r="D28" s="255">
        <v>564.78</v>
      </c>
      <c r="E28" s="101" t="s">
        <v>39</v>
      </c>
      <c r="F28" s="26">
        <f>26%*D25</f>
        <v>117.01560000000001</v>
      </c>
      <c r="G28" s="26">
        <f>4%*D28</f>
        <v>22.591200000000001</v>
      </c>
      <c r="H28" s="26">
        <f>SUM(F28:G28)</f>
        <v>139.60680000000002</v>
      </c>
      <c r="I28" s="19">
        <v>0</v>
      </c>
      <c r="J28" s="19"/>
      <c r="K28" s="19"/>
      <c r="L28" s="19"/>
      <c r="M28" s="20">
        <f t="shared" si="7"/>
        <v>0</v>
      </c>
      <c r="N28" s="35"/>
      <c r="O28" s="36"/>
      <c r="P28" s="227">
        <f t="shared" si="8"/>
        <v>0</v>
      </c>
      <c r="Q28" s="29"/>
    </row>
    <row r="29" spans="1:20" ht="25.5" customHeight="1" x14ac:dyDescent="0.3">
      <c r="A29" s="94"/>
      <c r="B29" s="298"/>
      <c r="C29" s="123"/>
      <c r="D29" s="297">
        <f>SUM(D25:D28)</f>
        <v>2091.11</v>
      </c>
      <c r="E29" s="47"/>
      <c r="F29" s="297">
        <f t="shared" ref="F29:M29" si="10">SUM(F25:F28)</f>
        <v>202.52700000000002</v>
      </c>
      <c r="G29" s="297">
        <f t="shared" si="10"/>
        <v>65.796960000000013</v>
      </c>
      <c r="H29" s="297">
        <f t="shared" si="10"/>
        <v>268.32396000000006</v>
      </c>
      <c r="I29" s="297">
        <f t="shared" si="10"/>
        <v>0</v>
      </c>
      <c r="J29" s="297">
        <f t="shared" si="10"/>
        <v>0</v>
      </c>
      <c r="K29" s="297">
        <f t="shared" si="10"/>
        <v>0</v>
      </c>
      <c r="L29" s="297">
        <f t="shared" si="10"/>
        <v>0</v>
      </c>
      <c r="M29" s="297">
        <f t="shared" si="10"/>
        <v>0</v>
      </c>
      <c r="N29" s="35"/>
      <c r="O29" s="36"/>
      <c r="P29" s="227">
        <f t="shared" si="8"/>
        <v>0</v>
      </c>
      <c r="Q29" s="29"/>
    </row>
    <row r="30" spans="1:20" ht="18.75" customHeight="1" x14ac:dyDescent="0.3">
      <c r="A30" s="300"/>
      <c r="B30" s="300"/>
      <c r="C30" s="300"/>
      <c r="D30" s="301"/>
      <c r="E30" s="302"/>
      <c r="F30" s="303"/>
      <c r="G30" s="303"/>
      <c r="H30" s="303"/>
      <c r="I30" s="304"/>
      <c r="J30" s="304"/>
      <c r="K30" s="304"/>
      <c r="L30" s="305"/>
      <c r="M30" s="305"/>
      <c r="N30" s="302"/>
      <c r="O30" s="302"/>
      <c r="P30" s="306"/>
      <c r="Q30" s="304"/>
    </row>
    <row r="31" spans="1:20" ht="17.25" customHeight="1" x14ac:dyDescent="0.3">
      <c r="A31" s="63">
        <v>2</v>
      </c>
      <c r="B31" s="64" t="s">
        <v>23</v>
      </c>
      <c r="C31" s="65"/>
      <c r="D31" s="66"/>
      <c r="E31" s="67"/>
      <c r="F31" s="68"/>
      <c r="G31" s="68"/>
      <c r="H31" s="68"/>
      <c r="I31" s="68"/>
      <c r="J31" s="68"/>
      <c r="K31" s="68"/>
      <c r="L31" s="68"/>
      <c r="M31" s="68"/>
      <c r="N31" s="69"/>
      <c r="O31" s="70"/>
      <c r="P31" s="230"/>
      <c r="Q31" s="68"/>
      <c r="S31" s="1" t="s">
        <v>333</v>
      </c>
    </row>
    <row r="32" spans="1:20" ht="21" customHeight="1" x14ac:dyDescent="0.3">
      <c r="A32" s="13"/>
      <c r="B32" s="14" t="s">
        <v>57</v>
      </c>
      <c r="C32" s="15" t="s">
        <v>22</v>
      </c>
      <c r="D32" s="26">
        <v>206.78</v>
      </c>
      <c r="E32" s="47" t="s">
        <v>629</v>
      </c>
      <c r="F32" s="19">
        <f>3%*D32</f>
        <v>6.2034000000000002</v>
      </c>
      <c r="G32" s="224">
        <f>1%*D32</f>
        <v>2.0678000000000001</v>
      </c>
      <c r="H32" s="19">
        <f t="shared" ref="H32" si="11">SUM(F32:G32)</f>
        <v>8.2712000000000003</v>
      </c>
      <c r="I32" s="19">
        <v>0</v>
      </c>
      <c r="J32" s="19">
        <v>0</v>
      </c>
      <c r="K32" s="19"/>
      <c r="L32" s="19">
        <v>6</v>
      </c>
      <c r="M32" s="20">
        <f t="shared" ref="M32:M41" si="12">SUM(I32:L32)</f>
        <v>6</v>
      </c>
      <c r="N32" s="37" t="s">
        <v>51</v>
      </c>
      <c r="O32" s="399" t="s">
        <v>674</v>
      </c>
      <c r="P32" s="231">
        <f t="shared" ref="P32:P44" si="13">G32*0.52*20%*0</f>
        <v>0</v>
      </c>
      <c r="Q32" s="16"/>
      <c r="S32" s="1" t="s">
        <v>659</v>
      </c>
      <c r="T32" s="1" t="s">
        <v>661</v>
      </c>
    </row>
    <row r="33" spans="1:20" ht="23.25" customHeight="1" x14ac:dyDescent="0.3">
      <c r="A33" s="54"/>
      <c r="B33" s="55" t="s">
        <v>58</v>
      </c>
      <c r="C33" s="56" t="s">
        <v>42</v>
      </c>
      <c r="D33" s="57">
        <v>68.599999999999994</v>
      </c>
      <c r="E33" s="47" t="s">
        <v>629</v>
      </c>
      <c r="F33" s="135">
        <f>4%*D32</f>
        <v>8.2712000000000003</v>
      </c>
      <c r="G33" s="224">
        <f>1%*D33</f>
        <v>0.68599999999999994</v>
      </c>
      <c r="H33" s="135">
        <f t="shared" ref="H33:H38" si="14">SUM(F33:G33)</f>
        <v>8.9572000000000003</v>
      </c>
      <c r="I33" s="19"/>
      <c r="J33" s="19"/>
      <c r="K33" s="19"/>
      <c r="L33" s="19">
        <v>5</v>
      </c>
      <c r="M33" s="20">
        <f t="shared" si="12"/>
        <v>5</v>
      </c>
      <c r="N33" s="37"/>
      <c r="O33" s="401"/>
      <c r="P33" s="231">
        <f t="shared" si="13"/>
        <v>0</v>
      </c>
      <c r="Q33" s="16"/>
    </row>
    <row r="34" spans="1:20" ht="19.5" customHeight="1" x14ac:dyDescent="0.3">
      <c r="A34" s="54"/>
      <c r="B34" s="55" t="s">
        <v>59</v>
      </c>
      <c r="C34" s="56" t="s">
        <v>21</v>
      </c>
      <c r="D34" s="57">
        <v>75.94</v>
      </c>
      <c r="E34" s="47" t="s">
        <v>629</v>
      </c>
      <c r="F34" s="19">
        <f>3%*D32</f>
        <v>6.2034000000000002</v>
      </c>
      <c r="G34" s="224">
        <f>1%*D32</f>
        <v>2.0678000000000001</v>
      </c>
      <c r="H34" s="135">
        <f>F34+G34</f>
        <v>8.2712000000000003</v>
      </c>
      <c r="I34" s="19"/>
      <c r="J34" s="19"/>
      <c r="K34" s="19"/>
      <c r="L34" s="19"/>
      <c r="M34" s="20"/>
      <c r="N34" s="37"/>
      <c r="O34" s="401"/>
      <c r="P34" s="231">
        <f t="shared" si="13"/>
        <v>0</v>
      </c>
      <c r="Q34" s="16"/>
      <c r="S34" s="47" t="s">
        <v>40</v>
      </c>
    </row>
    <row r="35" spans="1:20" ht="19.5" customHeight="1" x14ac:dyDescent="0.3">
      <c r="A35" s="54"/>
      <c r="B35" s="8" t="s">
        <v>60</v>
      </c>
      <c r="C35" s="10" t="s">
        <v>44</v>
      </c>
      <c r="D35" s="90">
        <v>15.23</v>
      </c>
      <c r="E35" s="47" t="s">
        <v>629</v>
      </c>
      <c r="F35" s="19">
        <f>3%*D33</f>
        <v>2.0579999999999998</v>
      </c>
      <c r="G35" s="224">
        <f>1%*D33</f>
        <v>0.68599999999999994</v>
      </c>
      <c r="H35" s="135">
        <f>F35+G35</f>
        <v>2.7439999999999998</v>
      </c>
      <c r="I35" s="19"/>
      <c r="J35" s="19"/>
      <c r="K35" s="19"/>
      <c r="L35" s="19"/>
      <c r="M35" s="20"/>
      <c r="N35" s="37"/>
      <c r="O35" s="401"/>
      <c r="P35" s="231">
        <f t="shared" si="13"/>
        <v>0</v>
      </c>
      <c r="Q35" s="16"/>
    </row>
    <row r="36" spans="1:20" ht="19.5" customHeight="1" x14ac:dyDescent="0.3">
      <c r="A36" s="54"/>
      <c r="B36" s="8"/>
      <c r="C36" s="10"/>
      <c r="D36" s="309">
        <f>SUM(D32:D35)</f>
        <v>366.55</v>
      </c>
      <c r="E36" s="47"/>
      <c r="F36" s="309">
        <f t="shared" ref="F36:M36" si="15">SUM(F32:F35)</f>
        <v>22.736000000000001</v>
      </c>
      <c r="G36" s="309">
        <f t="shared" si="15"/>
        <v>5.5076000000000001</v>
      </c>
      <c r="H36" s="309">
        <f t="shared" si="15"/>
        <v>28.243600000000001</v>
      </c>
      <c r="I36" s="309">
        <f t="shared" si="15"/>
        <v>0</v>
      </c>
      <c r="J36" s="309">
        <f t="shared" si="15"/>
        <v>0</v>
      </c>
      <c r="K36" s="309">
        <f t="shared" si="15"/>
        <v>0</v>
      </c>
      <c r="L36" s="309">
        <f t="shared" si="15"/>
        <v>11</v>
      </c>
      <c r="M36" s="309">
        <f t="shared" si="15"/>
        <v>11</v>
      </c>
      <c r="N36" s="37"/>
      <c r="O36" s="401"/>
      <c r="P36" s="231">
        <f t="shared" si="13"/>
        <v>0</v>
      </c>
      <c r="Q36" s="16"/>
    </row>
    <row r="37" spans="1:20" ht="20.25" customHeight="1" x14ac:dyDescent="0.3">
      <c r="A37" s="54"/>
      <c r="B37" s="14" t="s">
        <v>57</v>
      </c>
      <c r="C37" s="15" t="s">
        <v>22</v>
      </c>
      <c r="D37" s="26">
        <v>206.78</v>
      </c>
      <c r="E37" s="47" t="s">
        <v>669</v>
      </c>
      <c r="F37" s="19">
        <f>15%*D37</f>
        <v>31.016999999999999</v>
      </c>
      <c r="G37" s="224">
        <f>1%*D37</f>
        <v>2.0678000000000001</v>
      </c>
      <c r="H37" s="135">
        <f t="shared" si="14"/>
        <v>33.084800000000001</v>
      </c>
      <c r="I37" s="19">
        <v>0</v>
      </c>
      <c r="J37" s="19"/>
      <c r="K37" s="19"/>
      <c r="L37" s="19">
        <v>3</v>
      </c>
      <c r="M37" s="20">
        <f t="shared" si="12"/>
        <v>3</v>
      </c>
      <c r="N37" s="37"/>
      <c r="O37" s="400"/>
      <c r="P37" s="231">
        <f t="shared" si="13"/>
        <v>0</v>
      </c>
      <c r="Q37" s="16"/>
      <c r="S37" s="217" t="s">
        <v>660</v>
      </c>
      <c r="T37" s="1" t="s">
        <v>334</v>
      </c>
    </row>
    <row r="38" spans="1:20" ht="21" customHeight="1" x14ac:dyDescent="0.3">
      <c r="A38" s="54"/>
      <c r="B38" s="55" t="s">
        <v>58</v>
      </c>
      <c r="C38" s="56" t="s">
        <v>42</v>
      </c>
      <c r="D38" s="57">
        <v>68.599999999999994</v>
      </c>
      <c r="E38" s="47" t="s">
        <v>669</v>
      </c>
      <c r="F38" s="79">
        <f>3%*D37</f>
        <v>6.2034000000000002</v>
      </c>
      <c r="G38" s="224">
        <f>1%*D38</f>
        <v>0.68599999999999994</v>
      </c>
      <c r="H38" s="135">
        <f t="shared" si="14"/>
        <v>6.8894000000000002</v>
      </c>
      <c r="I38" s="19"/>
      <c r="J38" s="19"/>
      <c r="K38" s="19"/>
      <c r="L38" s="19"/>
      <c r="M38" s="20"/>
      <c r="N38" s="37"/>
      <c r="O38" s="259"/>
      <c r="P38" s="231">
        <f t="shared" si="13"/>
        <v>0</v>
      </c>
      <c r="Q38" s="16"/>
      <c r="S38" s="217"/>
    </row>
    <row r="39" spans="1:20" ht="21" customHeight="1" x14ac:dyDescent="0.3">
      <c r="A39" s="54"/>
      <c r="B39" s="55"/>
      <c r="C39" s="56"/>
      <c r="D39" s="310">
        <f>SUM(D37:D38)</f>
        <v>275.38</v>
      </c>
      <c r="E39" s="47"/>
      <c r="F39" s="309">
        <f t="shared" ref="F39:M39" si="16">SUM(F37:F38)</f>
        <v>37.220399999999998</v>
      </c>
      <c r="G39" s="309">
        <f t="shared" si="16"/>
        <v>2.7538</v>
      </c>
      <c r="H39" s="309">
        <f t="shared" si="16"/>
        <v>39.974200000000003</v>
      </c>
      <c r="I39" s="309">
        <f t="shared" si="16"/>
        <v>0</v>
      </c>
      <c r="J39" s="309">
        <f t="shared" si="16"/>
        <v>0</v>
      </c>
      <c r="K39" s="309">
        <f t="shared" si="16"/>
        <v>0</v>
      </c>
      <c r="L39" s="309">
        <f t="shared" si="16"/>
        <v>3</v>
      </c>
      <c r="M39" s="309">
        <f t="shared" si="16"/>
        <v>3</v>
      </c>
      <c r="N39" s="95"/>
      <c r="O39" s="260"/>
      <c r="P39" s="231">
        <f t="shared" si="13"/>
        <v>0</v>
      </c>
      <c r="Q39" s="87"/>
    </row>
    <row r="40" spans="1:20" ht="21.75" customHeight="1" x14ac:dyDescent="0.3">
      <c r="A40" s="54"/>
      <c r="B40" s="14" t="s">
        <v>57</v>
      </c>
      <c r="C40" s="15" t="s">
        <v>22</v>
      </c>
      <c r="D40" s="26">
        <v>206.78</v>
      </c>
      <c r="E40" s="47" t="s">
        <v>686</v>
      </c>
      <c r="F40" s="19">
        <f>6%*D40</f>
        <v>12.4068</v>
      </c>
      <c r="G40" s="224">
        <f>1%*D40</f>
        <v>2.0678000000000001</v>
      </c>
      <c r="H40" s="135">
        <f>F40+G40</f>
        <v>14.474600000000001</v>
      </c>
      <c r="I40" s="19">
        <v>0</v>
      </c>
      <c r="J40" s="19">
        <v>0</v>
      </c>
      <c r="K40" s="19">
        <v>1</v>
      </c>
      <c r="L40" s="19"/>
      <c r="M40" s="20">
        <f t="shared" si="12"/>
        <v>1</v>
      </c>
      <c r="N40" s="95"/>
      <c r="O40" s="260"/>
      <c r="P40" s="231">
        <f t="shared" si="13"/>
        <v>0</v>
      </c>
      <c r="Q40" s="87"/>
    </row>
    <row r="41" spans="1:20" ht="21.75" customHeight="1" x14ac:dyDescent="0.3">
      <c r="A41" s="54"/>
      <c r="B41" s="55" t="s">
        <v>58</v>
      </c>
      <c r="C41" s="56" t="s">
        <v>42</v>
      </c>
      <c r="D41" s="57">
        <v>68.599999999999994</v>
      </c>
      <c r="E41" s="47" t="s">
        <v>686</v>
      </c>
      <c r="F41" s="19">
        <f>3%*D40</f>
        <v>6.2034000000000002</v>
      </c>
      <c r="G41" s="224">
        <f>1%*D40</f>
        <v>2.0678000000000001</v>
      </c>
      <c r="H41" s="135">
        <f>F41+G41</f>
        <v>8.2712000000000003</v>
      </c>
      <c r="I41" s="19">
        <v>0</v>
      </c>
      <c r="J41" s="19">
        <v>0</v>
      </c>
      <c r="K41" s="19">
        <v>0</v>
      </c>
      <c r="L41" s="19">
        <v>3</v>
      </c>
      <c r="M41" s="20">
        <f t="shared" si="12"/>
        <v>3</v>
      </c>
      <c r="N41" s="95"/>
      <c r="O41" s="260"/>
      <c r="P41" s="231">
        <f t="shared" si="13"/>
        <v>0</v>
      </c>
      <c r="Q41" s="87"/>
    </row>
    <row r="42" spans="1:20" ht="21.75" customHeight="1" x14ac:dyDescent="0.3">
      <c r="A42" s="94"/>
      <c r="B42" s="55" t="s">
        <v>59</v>
      </c>
      <c r="C42" s="56" t="s">
        <v>21</v>
      </c>
      <c r="D42" s="57">
        <v>75.94</v>
      </c>
      <c r="E42" s="47" t="s">
        <v>686</v>
      </c>
      <c r="F42" s="19">
        <f>3%*D41</f>
        <v>2.0579999999999998</v>
      </c>
      <c r="G42" s="224">
        <f>1%*D41</f>
        <v>0.68599999999999994</v>
      </c>
      <c r="H42" s="135">
        <f>F42+G42</f>
        <v>2.7439999999999998</v>
      </c>
      <c r="I42" s="19">
        <v>0</v>
      </c>
      <c r="J42" s="19">
        <v>0</v>
      </c>
      <c r="K42" s="19">
        <v>0</v>
      </c>
      <c r="L42" s="19"/>
      <c r="M42" s="20">
        <f t="shared" ref="M42:M43" si="17">SUM(I42:L42)</f>
        <v>0</v>
      </c>
      <c r="N42" s="307"/>
      <c r="O42" s="308"/>
      <c r="P42" s="231">
        <f t="shared" si="13"/>
        <v>0</v>
      </c>
      <c r="Q42" s="5"/>
    </row>
    <row r="43" spans="1:20" ht="21.75" customHeight="1" x14ac:dyDescent="0.3">
      <c r="A43" s="94"/>
      <c r="B43" s="8" t="s">
        <v>60</v>
      </c>
      <c r="C43" s="10" t="s">
        <v>44</v>
      </c>
      <c r="D43" s="90">
        <v>15.23</v>
      </c>
      <c r="E43" s="47" t="s">
        <v>686</v>
      </c>
      <c r="F43" s="19">
        <f>3%*D42</f>
        <v>2.2782</v>
      </c>
      <c r="G43" s="224">
        <f>0.11%*D42</f>
        <v>8.3533999999999997E-2</v>
      </c>
      <c r="H43" s="135">
        <f>F43+G43</f>
        <v>2.3617340000000002</v>
      </c>
      <c r="I43" s="19">
        <v>0</v>
      </c>
      <c r="J43" s="19">
        <v>0</v>
      </c>
      <c r="K43" s="19">
        <v>0</v>
      </c>
      <c r="L43" s="19">
        <v>3</v>
      </c>
      <c r="M43" s="20">
        <f t="shared" si="17"/>
        <v>3</v>
      </c>
      <c r="N43" s="307"/>
      <c r="O43" s="308"/>
      <c r="P43" s="231">
        <f t="shared" si="13"/>
        <v>0</v>
      </c>
      <c r="Q43" s="5"/>
    </row>
    <row r="44" spans="1:20" ht="21.75" customHeight="1" x14ac:dyDescent="0.3">
      <c r="A44" s="94"/>
      <c r="B44" s="55"/>
      <c r="C44" s="56"/>
      <c r="D44" s="310">
        <f>SUM(D40:D43)</f>
        <v>366.55</v>
      </c>
      <c r="E44" s="47"/>
      <c r="F44" s="309">
        <f t="shared" ref="F44:M44" si="18">SUM(F40:F43)</f>
        <v>22.946399999999997</v>
      </c>
      <c r="G44" s="309">
        <f t="shared" si="18"/>
        <v>4.9051340000000003</v>
      </c>
      <c r="H44" s="309">
        <f t="shared" si="18"/>
        <v>27.851534000000001</v>
      </c>
      <c r="I44" s="309">
        <f t="shared" si="18"/>
        <v>0</v>
      </c>
      <c r="J44" s="309">
        <f t="shared" si="18"/>
        <v>0</v>
      </c>
      <c r="K44" s="309">
        <f t="shared" si="18"/>
        <v>1</v>
      </c>
      <c r="L44" s="309">
        <f t="shared" si="18"/>
        <v>6</v>
      </c>
      <c r="M44" s="309">
        <f t="shared" si="18"/>
        <v>7</v>
      </c>
      <c r="N44" s="307"/>
      <c r="O44" s="308"/>
      <c r="P44" s="231">
        <f t="shared" si="13"/>
        <v>0</v>
      </c>
      <c r="Q44" s="5"/>
    </row>
    <row r="45" spans="1:20" ht="21.75" customHeight="1" x14ac:dyDescent="0.3">
      <c r="A45" s="311"/>
      <c r="B45" s="312"/>
      <c r="C45" s="313"/>
      <c r="D45" s="314"/>
      <c r="E45" s="315"/>
      <c r="F45" s="316"/>
      <c r="G45" s="317"/>
      <c r="H45" s="317"/>
      <c r="I45" s="316"/>
      <c r="J45" s="316"/>
      <c r="K45" s="316"/>
      <c r="L45" s="316"/>
      <c r="M45" s="318"/>
      <c r="N45" s="319"/>
      <c r="O45" s="320"/>
      <c r="P45" s="321"/>
      <c r="Q45" s="322"/>
    </row>
    <row r="46" spans="1:20" ht="18.75" customHeight="1" x14ac:dyDescent="0.3">
      <c r="A46" s="63">
        <v>3</v>
      </c>
      <c r="B46" s="64" t="s">
        <v>19</v>
      </c>
      <c r="C46" s="65"/>
      <c r="D46" s="66"/>
      <c r="E46" s="67"/>
      <c r="F46" s="82"/>
      <c r="G46" s="82"/>
      <c r="H46" s="82"/>
      <c r="I46" s="82"/>
      <c r="J46" s="82"/>
      <c r="K46" s="82"/>
      <c r="L46" s="82"/>
      <c r="M46" s="82"/>
      <c r="N46" s="69"/>
      <c r="O46" s="112"/>
      <c r="P46" s="233"/>
      <c r="Q46" s="68"/>
    </row>
    <row r="47" spans="1:20" ht="22.5" customHeight="1" x14ac:dyDescent="0.3">
      <c r="A47" s="13"/>
      <c r="B47" s="14" t="s">
        <v>57</v>
      </c>
      <c r="C47" s="15" t="s">
        <v>24</v>
      </c>
      <c r="D47" s="26">
        <f>1347+481.9+54</f>
        <v>1882.9</v>
      </c>
      <c r="E47" s="50" t="s">
        <v>52</v>
      </c>
      <c r="F47" s="19">
        <f>6%*D47</f>
        <v>112.974</v>
      </c>
      <c r="G47" s="26">
        <f>29%*D47</f>
        <v>546.04099999999994</v>
      </c>
      <c r="H47" s="26">
        <f>SUM(F47:G47)</f>
        <v>659.01499999999999</v>
      </c>
      <c r="I47" s="19">
        <v>0</v>
      </c>
      <c r="J47" s="19"/>
      <c r="K47" s="19"/>
      <c r="L47" s="19">
        <v>9</v>
      </c>
      <c r="M47" s="19">
        <f>SUM(I47:L47)</f>
        <v>9</v>
      </c>
      <c r="N47" s="35">
        <v>1</v>
      </c>
      <c r="O47" s="401" t="s">
        <v>677</v>
      </c>
      <c r="P47" s="234">
        <f t="shared" ref="P47:P73" si="19">G47*0.815*26%*3500000</f>
        <v>404971307.64999998</v>
      </c>
      <c r="Q47" s="16"/>
    </row>
    <row r="48" spans="1:20" ht="21.75" customHeight="1" x14ac:dyDescent="0.3">
      <c r="A48" s="13"/>
      <c r="B48" s="14" t="s">
        <v>58</v>
      </c>
      <c r="C48" s="15" t="s">
        <v>25</v>
      </c>
      <c r="D48" s="26">
        <f>1378+343.2+54.3</f>
        <v>1775.5</v>
      </c>
      <c r="E48" s="50" t="s">
        <v>52</v>
      </c>
      <c r="F48" s="19">
        <f>7%*D48</f>
        <v>124.28500000000001</v>
      </c>
      <c r="G48" s="26">
        <f>10%*D48</f>
        <v>177.55</v>
      </c>
      <c r="H48" s="26">
        <f t="shared" ref="H48:H70" si="20">SUM(F48:G48)</f>
        <v>301.83500000000004</v>
      </c>
      <c r="I48" s="19">
        <v>0</v>
      </c>
      <c r="J48" s="19"/>
      <c r="K48" s="19"/>
      <c r="L48" s="19"/>
      <c r="M48" s="19">
        <f t="shared" ref="M48:M70" si="21">SUM(I48:L48)</f>
        <v>0</v>
      </c>
      <c r="N48" s="35"/>
      <c r="O48" s="401"/>
      <c r="P48" s="234">
        <f t="shared" si="19"/>
        <v>131679957.5</v>
      </c>
      <c r="Q48" s="16"/>
      <c r="S48" s="47" t="s">
        <v>624</v>
      </c>
    </row>
    <row r="49" spans="1:19" ht="21" customHeight="1" x14ac:dyDescent="0.3">
      <c r="A49" s="13"/>
      <c r="B49" s="14" t="s">
        <v>59</v>
      </c>
      <c r="C49" s="15" t="s">
        <v>26</v>
      </c>
      <c r="D49" s="26">
        <f>1052+337+22</f>
        <v>1411</v>
      </c>
      <c r="E49" s="50" t="s">
        <v>52</v>
      </c>
      <c r="F49" s="19">
        <f>3%*D49</f>
        <v>42.33</v>
      </c>
      <c r="G49" s="26">
        <f>32%*D49</f>
        <v>451.52</v>
      </c>
      <c r="H49" s="26">
        <f t="shared" si="20"/>
        <v>493.84999999999997</v>
      </c>
      <c r="I49" s="19"/>
      <c r="J49" s="19"/>
      <c r="K49" s="19"/>
      <c r="L49" s="19">
        <v>4</v>
      </c>
      <c r="M49" s="19">
        <f t="shared" si="21"/>
        <v>4</v>
      </c>
      <c r="N49" s="35"/>
      <c r="O49" s="401"/>
      <c r="P49" s="234">
        <f t="shared" si="19"/>
        <v>334869808</v>
      </c>
      <c r="Q49" s="16"/>
      <c r="S49" s="47" t="s">
        <v>234</v>
      </c>
    </row>
    <row r="50" spans="1:19" ht="15" customHeight="1" x14ac:dyDescent="0.3">
      <c r="A50" s="13"/>
      <c r="B50" s="14" t="s">
        <v>60</v>
      </c>
      <c r="C50" s="15" t="s">
        <v>55</v>
      </c>
      <c r="D50" s="26">
        <f>385.4+167.93+3</f>
        <v>556.32999999999993</v>
      </c>
      <c r="E50" s="50" t="s">
        <v>52</v>
      </c>
      <c r="F50" s="19">
        <f>5%*D50</f>
        <v>27.816499999999998</v>
      </c>
      <c r="G50" s="26">
        <f>9%*D50</f>
        <v>50.06969999999999</v>
      </c>
      <c r="H50" s="26">
        <f t="shared" si="20"/>
        <v>77.886199999999988</v>
      </c>
      <c r="I50" s="19">
        <v>0</v>
      </c>
      <c r="J50" s="19">
        <v>0</v>
      </c>
      <c r="K50" s="19"/>
      <c r="L50" s="19"/>
      <c r="M50" s="19">
        <f t="shared" si="21"/>
        <v>0</v>
      </c>
      <c r="N50" s="35"/>
      <c r="O50" s="401"/>
      <c r="P50" s="234">
        <f t="shared" si="19"/>
        <v>37134193.004999995</v>
      </c>
      <c r="Q50" s="16"/>
      <c r="S50" s="50" t="s">
        <v>52</v>
      </c>
    </row>
    <row r="51" spans="1:19" ht="18.75" customHeight="1" x14ac:dyDescent="0.3">
      <c r="A51" s="13"/>
      <c r="B51" s="14" t="s">
        <v>61</v>
      </c>
      <c r="C51" s="15" t="s">
        <v>27</v>
      </c>
      <c r="D51" s="26">
        <f>650.7+162.25+3</f>
        <v>815.95</v>
      </c>
      <c r="E51" s="50" t="s">
        <v>52</v>
      </c>
      <c r="F51" s="19">
        <f>8%*D51</f>
        <v>65.27600000000001</v>
      </c>
      <c r="G51" s="26">
        <f>20%*D51</f>
        <v>163.19000000000003</v>
      </c>
      <c r="H51" s="26">
        <f t="shared" si="20"/>
        <v>228.46600000000004</v>
      </c>
      <c r="I51" s="19">
        <v>0</v>
      </c>
      <c r="J51" s="19">
        <v>0</v>
      </c>
      <c r="K51" s="19">
        <v>0</v>
      </c>
      <c r="L51" s="19">
        <v>6</v>
      </c>
      <c r="M51" s="19">
        <f t="shared" si="21"/>
        <v>6</v>
      </c>
      <c r="N51" s="35"/>
      <c r="O51" s="36"/>
      <c r="P51" s="234">
        <f t="shared" si="19"/>
        <v>121029863.50000001</v>
      </c>
      <c r="Q51" s="16"/>
    </row>
    <row r="52" spans="1:19" ht="16.5" customHeight="1" x14ac:dyDescent="0.3">
      <c r="A52" s="13"/>
      <c r="B52" s="14" t="s">
        <v>62</v>
      </c>
      <c r="C52" s="15" t="s">
        <v>28</v>
      </c>
      <c r="D52" s="26">
        <f>955+634.6+5</f>
        <v>1594.6</v>
      </c>
      <c r="E52" s="50" t="s">
        <v>52</v>
      </c>
      <c r="F52" s="19">
        <f>7%*D52</f>
        <v>111.622</v>
      </c>
      <c r="G52" s="26">
        <f>8%*D52</f>
        <v>127.568</v>
      </c>
      <c r="H52" s="26">
        <f t="shared" si="20"/>
        <v>239.19</v>
      </c>
      <c r="I52" s="19">
        <v>0</v>
      </c>
      <c r="J52" s="19">
        <v>0</v>
      </c>
      <c r="K52" s="19"/>
      <c r="L52" s="19">
        <v>6</v>
      </c>
      <c r="M52" s="19">
        <f t="shared" si="21"/>
        <v>6</v>
      </c>
      <c r="N52" s="35">
        <v>2</v>
      </c>
      <c r="O52" s="399" t="s">
        <v>643</v>
      </c>
      <c r="P52" s="234">
        <f t="shared" si="19"/>
        <v>94610807.200000003</v>
      </c>
      <c r="Q52" s="16"/>
    </row>
    <row r="53" spans="1:19" ht="16.5" customHeight="1" x14ac:dyDescent="0.3">
      <c r="A53" s="13"/>
      <c r="B53" s="14" t="s">
        <v>63</v>
      </c>
      <c r="C53" s="15" t="s">
        <v>29</v>
      </c>
      <c r="D53" s="26">
        <f>1576+278.5+30</f>
        <v>1884.5</v>
      </c>
      <c r="E53" s="50" t="s">
        <v>52</v>
      </c>
      <c r="F53" s="19">
        <f>3%*D53</f>
        <v>56.534999999999997</v>
      </c>
      <c r="G53" s="26">
        <f>8%*D53</f>
        <v>150.76</v>
      </c>
      <c r="H53" s="26">
        <f t="shared" si="20"/>
        <v>207.29499999999999</v>
      </c>
      <c r="I53" s="19">
        <v>0</v>
      </c>
      <c r="J53" s="19">
        <v>0</v>
      </c>
      <c r="K53" s="19"/>
      <c r="L53" s="19"/>
      <c r="M53" s="19">
        <f t="shared" si="21"/>
        <v>0</v>
      </c>
      <c r="N53" s="35"/>
      <c r="O53" s="401"/>
      <c r="P53" s="234">
        <f t="shared" si="19"/>
        <v>111811153.99999999</v>
      </c>
      <c r="Q53" s="16"/>
    </row>
    <row r="54" spans="1:19" ht="16.5" customHeight="1" x14ac:dyDescent="0.3">
      <c r="A54" s="13"/>
      <c r="B54" s="14" t="s">
        <v>64</v>
      </c>
      <c r="C54" s="15" t="s">
        <v>56</v>
      </c>
      <c r="D54" s="26">
        <f>283.6+64.7+20+42</f>
        <v>410.3</v>
      </c>
      <c r="E54" s="50" t="s">
        <v>52</v>
      </c>
      <c r="F54" s="19">
        <f>7%*D54</f>
        <v>28.721000000000004</v>
      </c>
      <c r="G54" s="26">
        <f>16%*D54</f>
        <v>65.647999999999996</v>
      </c>
      <c r="H54" s="26">
        <f t="shared" si="20"/>
        <v>94.369</v>
      </c>
      <c r="I54" s="19">
        <v>0</v>
      </c>
      <c r="J54" s="19"/>
      <c r="K54" s="19"/>
      <c r="L54" s="19">
        <v>0</v>
      </c>
      <c r="M54" s="19">
        <f t="shared" si="21"/>
        <v>0</v>
      </c>
      <c r="N54" s="35"/>
      <c r="O54" s="401"/>
      <c r="P54" s="234">
        <f t="shared" si="19"/>
        <v>48687839.199999996</v>
      </c>
      <c r="Q54" s="16"/>
    </row>
    <row r="55" spans="1:19" ht="18" customHeight="1" x14ac:dyDescent="0.3">
      <c r="A55" s="13"/>
      <c r="B55" s="14" t="s">
        <v>65</v>
      </c>
      <c r="C55" s="15" t="s">
        <v>30</v>
      </c>
      <c r="D55" s="26">
        <f>1500.5+566.7</f>
        <v>2067.1999999999998</v>
      </c>
      <c r="E55" s="50" t="s">
        <v>52</v>
      </c>
      <c r="F55" s="19">
        <f>5%*D55</f>
        <v>103.36</v>
      </c>
      <c r="G55" s="26">
        <f>16%*D55</f>
        <v>330.75199999999995</v>
      </c>
      <c r="H55" s="26">
        <f t="shared" si="20"/>
        <v>434.11199999999997</v>
      </c>
      <c r="I55" s="19">
        <v>0</v>
      </c>
      <c r="J55" s="19">
        <v>0</v>
      </c>
      <c r="K55" s="19">
        <v>0</v>
      </c>
      <c r="L55" s="19">
        <v>6</v>
      </c>
      <c r="M55" s="19">
        <f t="shared" si="21"/>
        <v>6</v>
      </c>
      <c r="N55" s="35"/>
      <c r="O55" s="401"/>
      <c r="P55" s="234">
        <f t="shared" si="19"/>
        <v>245302220.79999998</v>
      </c>
      <c r="Q55" s="16"/>
    </row>
    <row r="56" spans="1:19" ht="18.75" customHeight="1" x14ac:dyDescent="0.3">
      <c r="A56" s="13"/>
      <c r="B56" s="14" t="s">
        <v>66</v>
      </c>
      <c r="C56" s="15" t="s">
        <v>31</v>
      </c>
      <c r="D56" s="26">
        <f>1214.5+396.5</f>
        <v>1611</v>
      </c>
      <c r="E56" s="50" t="s">
        <v>52</v>
      </c>
      <c r="F56" s="19">
        <f>6%*D56</f>
        <v>96.66</v>
      </c>
      <c r="G56" s="26">
        <f>11%*D56</f>
        <v>177.21</v>
      </c>
      <c r="H56" s="26">
        <f t="shared" si="20"/>
        <v>273.87</v>
      </c>
      <c r="I56" s="19">
        <v>0</v>
      </c>
      <c r="J56" s="19">
        <v>0</v>
      </c>
      <c r="K56" s="19">
        <v>0</v>
      </c>
      <c r="L56" s="19">
        <v>0</v>
      </c>
      <c r="M56" s="19">
        <f t="shared" si="21"/>
        <v>0</v>
      </c>
      <c r="N56" s="35"/>
      <c r="O56" s="401"/>
      <c r="P56" s="234">
        <f t="shared" si="19"/>
        <v>131427796.50000001</v>
      </c>
      <c r="Q56" s="16"/>
    </row>
    <row r="57" spans="1:19" ht="21" customHeight="1" x14ac:dyDescent="0.3">
      <c r="A57" s="13"/>
      <c r="B57" s="14" t="s">
        <v>67</v>
      </c>
      <c r="C57" s="15" t="s">
        <v>32</v>
      </c>
      <c r="D57" s="26">
        <f>998.9+79.5+13.3</f>
        <v>1091.7</v>
      </c>
      <c r="E57" s="50" t="s">
        <v>52</v>
      </c>
      <c r="F57" s="19">
        <f>8%*D57</f>
        <v>87.335999999999999</v>
      </c>
      <c r="G57" s="26">
        <f>11%*D57</f>
        <v>120.087</v>
      </c>
      <c r="H57" s="26">
        <f t="shared" si="20"/>
        <v>207.423</v>
      </c>
      <c r="I57" s="19">
        <v>0</v>
      </c>
      <c r="J57" s="19">
        <v>0</v>
      </c>
      <c r="K57" s="19">
        <v>0</v>
      </c>
      <c r="L57" s="19">
        <v>0</v>
      </c>
      <c r="M57" s="19">
        <f t="shared" si="21"/>
        <v>0</v>
      </c>
      <c r="N57" s="35"/>
      <c r="O57" s="401"/>
      <c r="P57" s="234">
        <f t="shared" si="19"/>
        <v>89062523.549999997</v>
      </c>
      <c r="Q57" s="16"/>
    </row>
    <row r="58" spans="1:19" ht="18.75" customHeight="1" x14ac:dyDescent="0.3">
      <c r="A58" s="13"/>
      <c r="B58" s="14" t="s">
        <v>68</v>
      </c>
      <c r="C58" s="15" t="s">
        <v>33</v>
      </c>
      <c r="D58" s="26">
        <f>1347+176.5+40</f>
        <v>1563.5</v>
      </c>
      <c r="E58" s="50" t="s">
        <v>52</v>
      </c>
      <c r="F58" s="19">
        <f>10%*D58</f>
        <v>156.35000000000002</v>
      </c>
      <c r="G58" s="26">
        <f>12%*D58</f>
        <v>187.62</v>
      </c>
      <c r="H58" s="26">
        <f t="shared" si="20"/>
        <v>343.97</v>
      </c>
      <c r="I58" s="19">
        <v>0</v>
      </c>
      <c r="J58" s="19"/>
      <c r="K58" s="19">
        <v>0</v>
      </c>
      <c r="L58" s="19">
        <v>0</v>
      </c>
      <c r="M58" s="19">
        <f t="shared" si="21"/>
        <v>0</v>
      </c>
      <c r="N58" s="35"/>
      <c r="O58" s="401"/>
      <c r="P58" s="234">
        <f t="shared" si="19"/>
        <v>139148373</v>
      </c>
      <c r="Q58" s="16"/>
    </row>
    <row r="59" spans="1:19" ht="19.5" customHeight="1" x14ac:dyDescent="0.3">
      <c r="A59" s="13"/>
      <c r="B59" s="14" t="s">
        <v>69</v>
      </c>
      <c r="C59" s="15" t="s">
        <v>34</v>
      </c>
      <c r="D59" s="26">
        <f>1892.1+376+20+24</f>
        <v>2312.1</v>
      </c>
      <c r="E59" s="50" t="s">
        <v>52</v>
      </c>
      <c r="F59" s="19">
        <f>4%*D59</f>
        <v>92.483999999999995</v>
      </c>
      <c r="G59" s="26">
        <f>21%*D59</f>
        <v>485.54099999999994</v>
      </c>
      <c r="H59" s="26">
        <f t="shared" si="20"/>
        <v>578.02499999999998</v>
      </c>
      <c r="I59" s="19">
        <v>0</v>
      </c>
      <c r="J59" s="19"/>
      <c r="K59" s="19"/>
      <c r="L59" s="19">
        <v>11</v>
      </c>
      <c r="M59" s="19">
        <f t="shared" si="21"/>
        <v>11</v>
      </c>
      <c r="N59" s="35"/>
      <c r="O59" s="401"/>
      <c r="P59" s="234">
        <f t="shared" si="19"/>
        <v>360101482.64999998</v>
      </c>
      <c r="Q59" s="16"/>
    </row>
    <row r="60" spans="1:19" ht="16.5" customHeight="1" x14ac:dyDescent="0.3">
      <c r="A60" s="13"/>
      <c r="B60" s="14" t="s">
        <v>70</v>
      </c>
      <c r="C60" s="15" t="s">
        <v>35</v>
      </c>
      <c r="D60" s="26">
        <f>1559+185.25</f>
        <v>1744.25</v>
      </c>
      <c r="E60" s="50" t="s">
        <v>52</v>
      </c>
      <c r="F60" s="19">
        <f>4%*D60</f>
        <v>69.77</v>
      </c>
      <c r="G60" s="26">
        <f>14%*D60</f>
        <v>244.19500000000002</v>
      </c>
      <c r="H60" s="26">
        <f t="shared" si="20"/>
        <v>313.96500000000003</v>
      </c>
      <c r="I60" s="19">
        <v>0</v>
      </c>
      <c r="J60" s="19">
        <v>0</v>
      </c>
      <c r="K60" s="19">
        <v>0</v>
      </c>
      <c r="L60" s="19">
        <v>0</v>
      </c>
      <c r="M60" s="19">
        <f t="shared" si="21"/>
        <v>0</v>
      </c>
      <c r="N60" s="35"/>
      <c r="O60" s="401"/>
      <c r="P60" s="234">
        <f t="shared" si="19"/>
        <v>181107221.75</v>
      </c>
      <c r="Q60" s="16"/>
    </row>
    <row r="61" spans="1:19" ht="17.25" customHeight="1" x14ac:dyDescent="0.3">
      <c r="A61" s="13"/>
      <c r="B61" s="14" t="s">
        <v>71</v>
      </c>
      <c r="C61" s="15" t="s">
        <v>21</v>
      </c>
      <c r="D61" s="26">
        <f>1972+130</f>
        <v>2102</v>
      </c>
      <c r="E61" s="50" t="s">
        <v>52</v>
      </c>
      <c r="F61" s="19">
        <f>4%*D61</f>
        <v>84.08</v>
      </c>
      <c r="G61" s="26">
        <f>12%*D61</f>
        <v>252.23999999999998</v>
      </c>
      <c r="H61" s="26">
        <f t="shared" si="20"/>
        <v>336.32</v>
      </c>
      <c r="I61" s="19">
        <v>0</v>
      </c>
      <c r="J61" s="19">
        <v>0</v>
      </c>
      <c r="K61" s="19">
        <v>0</v>
      </c>
      <c r="L61" s="19">
        <v>0</v>
      </c>
      <c r="M61" s="19">
        <f t="shared" si="21"/>
        <v>0</v>
      </c>
      <c r="N61" s="35"/>
      <c r="O61" s="401"/>
      <c r="P61" s="234">
        <f t="shared" si="19"/>
        <v>187073796</v>
      </c>
      <c r="Q61" s="16"/>
    </row>
    <row r="62" spans="1:19" ht="22.5" customHeight="1" x14ac:dyDescent="0.3">
      <c r="A62" s="13"/>
      <c r="B62" s="14" t="s">
        <v>72</v>
      </c>
      <c r="C62" s="15" t="s">
        <v>42</v>
      </c>
      <c r="D62" s="26">
        <f>791.1+303.8+20</f>
        <v>1114.9000000000001</v>
      </c>
      <c r="E62" s="50" t="s">
        <v>52</v>
      </c>
      <c r="F62" s="19">
        <f>5%*D62</f>
        <v>55.745000000000005</v>
      </c>
      <c r="G62" s="26">
        <f>15%*D62</f>
        <v>167.23500000000001</v>
      </c>
      <c r="H62" s="26">
        <f t="shared" si="20"/>
        <v>222.98000000000002</v>
      </c>
      <c r="I62" s="19">
        <v>0</v>
      </c>
      <c r="J62" s="19">
        <v>0</v>
      </c>
      <c r="K62" s="19">
        <v>0</v>
      </c>
      <c r="L62" s="19">
        <v>4</v>
      </c>
      <c r="M62" s="19">
        <f t="shared" si="21"/>
        <v>4</v>
      </c>
      <c r="N62" s="35"/>
      <c r="O62" s="400"/>
      <c r="P62" s="234">
        <f t="shared" si="19"/>
        <v>124029837.75000001</v>
      </c>
      <c r="Q62" s="16"/>
    </row>
    <row r="63" spans="1:19" ht="21" customHeight="1" x14ac:dyDescent="0.3">
      <c r="A63" s="13"/>
      <c r="B63" s="14" t="s">
        <v>73</v>
      </c>
      <c r="C63" s="15" t="s">
        <v>105</v>
      </c>
      <c r="D63" s="26">
        <f>153.8+8.7+20</f>
        <v>182.5</v>
      </c>
      <c r="E63" s="50" t="s">
        <v>52</v>
      </c>
      <c r="F63" s="19">
        <f>7%*D63</f>
        <v>12.775</v>
      </c>
      <c r="G63" s="26">
        <f>10%*D63</f>
        <v>18.25</v>
      </c>
      <c r="H63" s="26">
        <f t="shared" si="20"/>
        <v>31.024999999999999</v>
      </c>
      <c r="I63" s="19">
        <v>0</v>
      </c>
      <c r="J63" s="19">
        <v>0</v>
      </c>
      <c r="K63" s="19">
        <v>0</v>
      </c>
      <c r="L63" s="19">
        <v>7</v>
      </c>
      <c r="M63" s="19">
        <f t="shared" si="21"/>
        <v>7</v>
      </c>
      <c r="N63" s="35"/>
      <c r="O63" s="36"/>
      <c r="P63" s="234">
        <f t="shared" si="19"/>
        <v>13535112.5</v>
      </c>
      <c r="Q63" s="16"/>
    </row>
    <row r="64" spans="1:19" ht="20.25" customHeight="1" x14ac:dyDescent="0.3">
      <c r="A64" s="13"/>
      <c r="B64" s="14" t="s">
        <v>74</v>
      </c>
      <c r="C64" s="15" t="s">
        <v>110</v>
      </c>
      <c r="D64" s="26">
        <f>695+48.2</f>
        <v>743.2</v>
      </c>
      <c r="E64" s="50" t="s">
        <v>52</v>
      </c>
      <c r="F64" s="19">
        <f>10%*D64</f>
        <v>74.320000000000007</v>
      </c>
      <c r="G64" s="26">
        <f>15%*D64</f>
        <v>111.48</v>
      </c>
      <c r="H64" s="26">
        <f t="shared" si="20"/>
        <v>185.8</v>
      </c>
      <c r="I64" s="19">
        <v>0</v>
      </c>
      <c r="J64" s="19">
        <v>0</v>
      </c>
      <c r="K64" s="19">
        <v>0</v>
      </c>
      <c r="L64" s="19">
        <v>0</v>
      </c>
      <c r="M64" s="19">
        <f t="shared" si="21"/>
        <v>0</v>
      </c>
      <c r="N64" s="35">
        <v>3</v>
      </c>
      <c r="O64" s="399" t="s">
        <v>644</v>
      </c>
      <c r="P64" s="234">
        <f t="shared" si="19"/>
        <v>82679142</v>
      </c>
      <c r="Q64" s="16"/>
    </row>
    <row r="65" spans="1:22" ht="22.5" customHeight="1" x14ac:dyDescent="0.3">
      <c r="A65" s="13"/>
      <c r="B65" s="14" t="s">
        <v>75</v>
      </c>
      <c r="C65" s="15" t="s">
        <v>112</v>
      </c>
      <c r="D65" s="26">
        <f>375+14</f>
        <v>389</v>
      </c>
      <c r="E65" s="50" t="s">
        <v>52</v>
      </c>
      <c r="F65" s="19">
        <f>5%*D65</f>
        <v>19.450000000000003</v>
      </c>
      <c r="G65" s="26">
        <f>11%*D65</f>
        <v>42.79</v>
      </c>
      <c r="H65" s="26">
        <f t="shared" si="20"/>
        <v>62.24</v>
      </c>
      <c r="I65" s="19">
        <v>0</v>
      </c>
      <c r="J65" s="19">
        <v>0</v>
      </c>
      <c r="K65" s="19">
        <v>0</v>
      </c>
      <c r="L65" s="19">
        <v>0</v>
      </c>
      <c r="M65" s="19">
        <f t="shared" si="21"/>
        <v>0</v>
      </c>
      <c r="N65" s="35"/>
      <c r="O65" s="401"/>
      <c r="P65" s="234">
        <f t="shared" si="19"/>
        <v>31735203.499999996</v>
      </c>
      <c r="Q65" s="16"/>
    </row>
    <row r="66" spans="1:22" ht="18.75" customHeight="1" x14ac:dyDescent="0.3">
      <c r="A66" s="13"/>
      <c r="B66" s="14" t="s">
        <v>104</v>
      </c>
      <c r="C66" s="15" t="s">
        <v>114</v>
      </c>
      <c r="D66" s="26">
        <f>73.5</f>
        <v>73.5</v>
      </c>
      <c r="E66" s="50" t="s">
        <v>52</v>
      </c>
      <c r="F66" s="19">
        <f>9%*D66</f>
        <v>6.6149999999999993</v>
      </c>
      <c r="G66" s="26">
        <f>6%*D66</f>
        <v>4.41</v>
      </c>
      <c r="H66" s="26">
        <f t="shared" si="20"/>
        <v>11.024999999999999</v>
      </c>
      <c r="I66" s="19">
        <v>0</v>
      </c>
      <c r="J66" s="19">
        <v>0</v>
      </c>
      <c r="K66" s="19">
        <v>0</v>
      </c>
      <c r="L66" s="19">
        <v>8</v>
      </c>
      <c r="M66" s="19">
        <f t="shared" si="21"/>
        <v>8</v>
      </c>
      <c r="N66" s="35"/>
      <c r="O66" s="401"/>
      <c r="P66" s="234">
        <f t="shared" si="19"/>
        <v>3270676.5</v>
      </c>
      <c r="Q66" s="16"/>
    </row>
    <row r="67" spans="1:22" ht="21.75" customHeight="1" x14ac:dyDescent="0.3">
      <c r="A67" s="13"/>
      <c r="B67" s="14" t="s">
        <v>106</v>
      </c>
      <c r="C67" s="15" t="s">
        <v>22</v>
      </c>
      <c r="D67" s="26">
        <f>1205.05+115</f>
        <v>1320.05</v>
      </c>
      <c r="E67" s="50" t="s">
        <v>52</v>
      </c>
      <c r="F67" s="19">
        <f>8%*D67</f>
        <v>105.604</v>
      </c>
      <c r="G67" s="26">
        <f>12%*D67</f>
        <v>158.40599999999998</v>
      </c>
      <c r="H67" s="26">
        <f t="shared" si="20"/>
        <v>264.01</v>
      </c>
      <c r="I67" s="19">
        <v>0</v>
      </c>
      <c r="J67" s="19">
        <v>0</v>
      </c>
      <c r="K67" s="19"/>
      <c r="L67" s="19"/>
      <c r="M67" s="19">
        <f t="shared" si="21"/>
        <v>0</v>
      </c>
      <c r="N67" s="35"/>
      <c r="O67" s="401"/>
      <c r="P67" s="234">
        <f t="shared" si="19"/>
        <v>117481809.89999998</v>
      </c>
      <c r="Q67" s="16"/>
    </row>
    <row r="68" spans="1:22" ht="21" customHeight="1" x14ac:dyDescent="0.3">
      <c r="A68" s="13"/>
      <c r="B68" s="14" t="s">
        <v>108</v>
      </c>
      <c r="C68" s="15" t="s">
        <v>180</v>
      </c>
      <c r="D68" s="26">
        <f>134.8+5</f>
        <v>139.80000000000001</v>
      </c>
      <c r="E68" s="47" t="s">
        <v>52</v>
      </c>
      <c r="F68" s="19">
        <f>5%*D68</f>
        <v>6.9900000000000011</v>
      </c>
      <c r="G68" s="26">
        <f>16%*D68</f>
        <v>22.368000000000002</v>
      </c>
      <c r="H68" s="26">
        <f t="shared" si="20"/>
        <v>29.358000000000004</v>
      </c>
      <c r="I68" s="19">
        <v>0</v>
      </c>
      <c r="J68" s="19">
        <v>0</v>
      </c>
      <c r="K68" s="19">
        <v>0</v>
      </c>
      <c r="L68" s="19">
        <v>8</v>
      </c>
      <c r="M68" s="19">
        <f t="shared" si="21"/>
        <v>8</v>
      </c>
      <c r="N68" s="35"/>
      <c r="O68" s="401"/>
      <c r="P68" s="234">
        <f t="shared" si="19"/>
        <v>16589227.200000001</v>
      </c>
      <c r="Q68" s="16"/>
    </row>
    <row r="69" spans="1:22" ht="21.75" customHeight="1" x14ac:dyDescent="0.3">
      <c r="A69" s="13"/>
      <c r="B69" s="14" t="s">
        <v>109</v>
      </c>
      <c r="C69" s="15" t="s">
        <v>43</v>
      </c>
      <c r="D69" s="26">
        <f>1195+218.6</f>
        <v>1413.6</v>
      </c>
      <c r="E69" s="50" t="s">
        <v>52</v>
      </c>
      <c r="F69" s="19">
        <f>6%*D69</f>
        <v>84.815999999999988</v>
      </c>
      <c r="G69" s="26">
        <f>10%*D69</f>
        <v>141.35999999999999</v>
      </c>
      <c r="H69" s="26">
        <f t="shared" si="20"/>
        <v>226.17599999999999</v>
      </c>
      <c r="I69" s="19">
        <v>0</v>
      </c>
      <c r="J69" s="19">
        <v>0</v>
      </c>
      <c r="K69" s="19">
        <v>0</v>
      </c>
      <c r="L69" s="19">
        <v>0</v>
      </c>
      <c r="M69" s="19">
        <f t="shared" si="21"/>
        <v>0</v>
      </c>
      <c r="N69" s="35"/>
      <c r="O69" s="400"/>
      <c r="P69" s="234">
        <f t="shared" si="19"/>
        <v>104839644</v>
      </c>
      <c r="Q69" s="16"/>
    </row>
    <row r="70" spans="1:22" ht="21" customHeight="1" x14ac:dyDescent="0.3">
      <c r="A70" s="54"/>
      <c r="B70" s="55" t="s">
        <v>111</v>
      </c>
      <c r="C70" s="56" t="s">
        <v>44</v>
      </c>
      <c r="D70" s="57">
        <f>1400.35+129.1</f>
        <v>1529.4499999999998</v>
      </c>
      <c r="E70" s="78" t="s">
        <v>52</v>
      </c>
      <c r="F70" s="79">
        <f>6%*D70</f>
        <v>91.766999999999982</v>
      </c>
      <c r="G70" s="57">
        <f>11%*D70</f>
        <v>168.23949999999999</v>
      </c>
      <c r="H70" s="57">
        <f t="shared" si="20"/>
        <v>260.00649999999996</v>
      </c>
      <c r="I70" s="79">
        <v>0</v>
      </c>
      <c r="J70" s="79">
        <v>0</v>
      </c>
      <c r="K70" s="79">
        <v>0</v>
      </c>
      <c r="L70" s="79">
        <v>6</v>
      </c>
      <c r="M70" s="79">
        <f t="shared" si="21"/>
        <v>6</v>
      </c>
      <c r="N70" s="80"/>
      <c r="O70" s="81"/>
      <c r="P70" s="239">
        <f t="shared" si="19"/>
        <v>124774825.17499998</v>
      </c>
      <c r="Q70" s="87"/>
    </row>
    <row r="71" spans="1:22" ht="18.75" customHeight="1" x14ac:dyDescent="0.3">
      <c r="A71" s="13"/>
      <c r="B71" s="328"/>
      <c r="C71" s="287"/>
      <c r="D71" s="34">
        <f>SUM(D47:D70)</f>
        <v>29728.829999999998</v>
      </c>
      <c r="E71" s="323"/>
      <c r="F71" s="324">
        <f>SUM(F51:F70)</f>
        <v>1410.2760000000003</v>
      </c>
      <c r="G71" s="324">
        <f t="shared" ref="G71:M71" si="22">SUM(G47:G70)</f>
        <v>4364.5301999999983</v>
      </c>
      <c r="H71" s="324">
        <f t="shared" si="22"/>
        <v>6082.2116999999998</v>
      </c>
      <c r="I71" s="324">
        <f t="shared" si="22"/>
        <v>0</v>
      </c>
      <c r="J71" s="324">
        <f t="shared" si="22"/>
        <v>0</v>
      </c>
      <c r="K71" s="324">
        <f t="shared" si="22"/>
        <v>0</v>
      </c>
      <c r="L71" s="324">
        <f t="shared" si="22"/>
        <v>75</v>
      </c>
      <c r="M71" s="324">
        <f t="shared" si="22"/>
        <v>75</v>
      </c>
      <c r="N71" s="325"/>
      <c r="O71" s="326"/>
      <c r="P71" s="327">
        <f>SUM(P47:P70)</f>
        <v>3236953822.8299999</v>
      </c>
      <c r="Q71" s="16"/>
    </row>
    <row r="72" spans="1:22" ht="18.75" customHeight="1" x14ac:dyDescent="0.3">
      <c r="A72" s="94"/>
      <c r="B72" s="1" t="s">
        <v>57</v>
      </c>
      <c r="C72" s="15" t="s">
        <v>24</v>
      </c>
      <c r="D72" s="26">
        <f>1347+481.9+54</f>
        <v>1882.9</v>
      </c>
      <c r="E72" s="47" t="s">
        <v>624</v>
      </c>
      <c r="F72" s="19">
        <f>6%*D72</f>
        <v>112.974</v>
      </c>
      <c r="G72" s="26">
        <f>2%*D72</f>
        <v>37.658000000000001</v>
      </c>
      <c r="H72" s="26">
        <f>SUM(F72:G72)</f>
        <v>150.63200000000001</v>
      </c>
      <c r="I72" s="19">
        <v>0</v>
      </c>
      <c r="J72" s="19"/>
      <c r="K72" s="19"/>
      <c r="L72" s="19">
        <v>9</v>
      </c>
      <c r="M72" s="19">
        <f>SUM(I72:L72)</f>
        <v>9</v>
      </c>
      <c r="N72" s="93"/>
      <c r="O72" s="51"/>
      <c r="P72" s="234">
        <f t="shared" si="19"/>
        <v>27929055.700000003</v>
      </c>
      <c r="Q72" s="5"/>
    </row>
    <row r="73" spans="1:22" ht="18.75" customHeight="1" x14ac:dyDescent="0.3">
      <c r="A73" s="94"/>
      <c r="B73" s="1" t="s">
        <v>58</v>
      </c>
      <c r="C73" s="15" t="s">
        <v>25</v>
      </c>
      <c r="D73" s="26">
        <f>1378+343.2+54.3</f>
        <v>1775.5</v>
      </c>
      <c r="E73" s="47" t="s">
        <v>624</v>
      </c>
      <c r="F73" s="19">
        <f>6%*D73</f>
        <v>106.53</v>
      </c>
      <c r="G73" s="26">
        <f>5%*D73</f>
        <v>88.775000000000006</v>
      </c>
      <c r="H73" s="26">
        <f>SUM(F73:G73)</f>
        <v>195.30500000000001</v>
      </c>
      <c r="I73" s="19">
        <v>0</v>
      </c>
      <c r="J73" s="19"/>
      <c r="K73" s="19"/>
      <c r="L73" s="19"/>
      <c r="M73" s="19">
        <f>SUM(I73:L73)</f>
        <v>0</v>
      </c>
      <c r="N73" s="93"/>
      <c r="O73" s="51"/>
      <c r="P73" s="239">
        <f t="shared" si="19"/>
        <v>65839978.75</v>
      </c>
      <c r="Q73" s="5"/>
    </row>
    <row r="74" spans="1:22" ht="18.75" customHeight="1" x14ac:dyDescent="0.3">
      <c r="A74" s="94"/>
      <c r="C74" s="10"/>
      <c r="D74" s="329">
        <f>SUM(D72:D73)</f>
        <v>3658.4</v>
      </c>
      <c r="E74" s="91"/>
      <c r="F74" s="329">
        <f t="shared" ref="F74:M74" si="23">SUM(F72:F73)</f>
        <v>219.50400000000002</v>
      </c>
      <c r="G74" s="329">
        <f t="shared" si="23"/>
        <v>126.43300000000001</v>
      </c>
      <c r="H74" s="329">
        <f t="shared" si="23"/>
        <v>345.93700000000001</v>
      </c>
      <c r="I74" s="329">
        <f t="shared" si="23"/>
        <v>0</v>
      </c>
      <c r="J74" s="329">
        <f t="shared" si="23"/>
        <v>0</v>
      </c>
      <c r="K74" s="329">
        <f t="shared" si="23"/>
        <v>0</v>
      </c>
      <c r="L74" s="329">
        <f t="shared" si="23"/>
        <v>9</v>
      </c>
      <c r="M74" s="329">
        <f t="shared" si="23"/>
        <v>9</v>
      </c>
      <c r="N74" s="93"/>
      <c r="O74" s="51"/>
      <c r="P74" s="329">
        <f>SUM(P72:P73)</f>
        <v>93769034.450000003</v>
      </c>
      <c r="Q74" s="5"/>
    </row>
    <row r="75" spans="1:22" ht="18.75" customHeight="1" x14ac:dyDescent="0.3">
      <c r="A75" s="311"/>
      <c r="B75" s="330"/>
      <c r="C75" s="313"/>
      <c r="D75" s="331"/>
      <c r="E75" s="315"/>
      <c r="F75" s="316"/>
      <c r="G75" s="316"/>
      <c r="H75" s="316"/>
      <c r="I75" s="316"/>
      <c r="J75" s="316"/>
      <c r="K75" s="316"/>
      <c r="L75" s="316"/>
      <c r="M75" s="316"/>
      <c r="N75" s="332"/>
      <c r="O75" s="333"/>
      <c r="P75" s="334"/>
      <c r="Q75" s="322"/>
      <c r="R75" s="330"/>
    </row>
    <row r="76" spans="1:22" ht="18" customHeight="1" x14ac:dyDescent="0.3">
      <c r="A76" s="63">
        <v>4</v>
      </c>
      <c r="B76" s="64" t="s">
        <v>46</v>
      </c>
      <c r="C76" s="65"/>
      <c r="D76" s="66"/>
      <c r="E76" s="67"/>
      <c r="F76" s="82"/>
      <c r="G76" s="82"/>
      <c r="H76" s="82"/>
      <c r="I76" s="82"/>
      <c r="J76" s="82"/>
      <c r="K76" s="82"/>
      <c r="L76" s="82"/>
      <c r="M76" s="82"/>
      <c r="N76" s="69"/>
      <c r="O76" s="70"/>
      <c r="P76" s="233"/>
      <c r="Q76" s="68"/>
      <c r="S76" s="1" t="s">
        <v>641</v>
      </c>
    </row>
    <row r="77" spans="1:22" ht="18.75" customHeight="1" x14ac:dyDescent="0.3">
      <c r="A77" s="102"/>
      <c r="B77" s="98" t="s">
        <v>57</v>
      </c>
      <c r="C77" s="99" t="s">
        <v>29</v>
      </c>
      <c r="D77" s="96">
        <v>175</v>
      </c>
      <c r="E77" s="101" t="s">
        <v>645</v>
      </c>
      <c r="F77" s="96">
        <f>2%*D77</f>
        <v>3.5</v>
      </c>
      <c r="G77" s="96">
        <f>2%*D77</f>
        <v>3.5</v>
      </c>
      <c r="H77" s="96">
        <f>SUM(F77:G77)</f>
        <v>7</v>
      </c>
      <c r="I77" s="97">
        <v>0</v>
      </c>
      <c r="J77" s="97"/>
      <c r="K77" s="97"/>
      <c r="L77" s="97">
        <v>2</v>
      </c>
      <c r="M77" s="97">
        <f t="shared" ref="M77:M84" si="24">SUM(I77:L77)</f>
        <v>2</v>
      </c>
      <c r="N77" s="35" t="s">
        <v>51</v>
      </c>
      <c r="O77" s="36" t="s">
        <v>229</v>
      </c>
      <c r="P77" s="234">
        <f>G77*1.036*20%*8000000</f>
        <v>5801600.0000000009</v>
      </c>
      <c r="Q77" s="16"/>
      <c r="S77" s="100" t="s">
        <v>645</v>
      </c>
      <c r="V77" s="1" t="s">
        <v>696</v>
      </c>
    </row>
    <row r="78" spans="1:22" ht="18.75" customHeight="1" x14ac:dyDescent="0.3">
      <c r="A78" s="13"/>
      <c r="B78" s="14" t="s">
        <v>58</v>
      </c>
      <c r="C78" s="15" t="s">
        <v>33</v>
      </c>
      <c r="D78" s="26">
        <v>368</v>
      </c>
      <c r="E78" s="101" t="s">
        <v>645</v>
      </c>
      <c r="F78" s="26">
        <f>3%*D78</f>
        <v>11.04</v>
      </c>
      <c r="G78" s="26">
        <f>4%*D78</f>
        <v>14.72</v>
      </c>
      <c r="H78" s="26">
        <f t="shared" ref="H78:H84" si="25">SUM(F78:G78)</f>
        <v>25.759999999999998</v>
      </c>
      <c r="I78" s="19">
        <v>0</v>
      </c>
      <c r="J78" s="19"/>
      <c r="K78" s="19">
        <v>0</v>
      </c>
      <c r="L78" s="19">
        <v>3</v>
      </c>
      <c r="M78" s="19">
        <f t="shared" si="24"/>
        <v>3</v>
      </c>
      <c r="N78" s="35" t="s">
        <v>51</v>
      </c>
      <c r="O78" s="36" t="s">
        <v>138</v>
      </c>
      <c r="P78" s="234">
        <f>G78*1.036*20%*8000000</f>
        <v>24399872.000000004</v>
      </c>
      <c r="Q78" s="16"/>
      <c r="S78" s="1" t="s">
        <v>697</v>
      </c>
    </row>
    <row r="79" spans="1:22" ht="18.75" customHeight="1" x14ac:dyDescent="0.3">
      <c r="A79" s="13"/>
      <c r="B79" s="98" t="s">
        <v>59</v>
      </c>
      <c r="C79" s="99" t="s">
        <v>42</v>
      </c>
      <c r="D79" s="96">
        <v>774.98</v>
      </c>
      <c r="E79" s="101" t="s">
        <v>645</v>
      </c>
      <c r="F79" s="96">
        <f>2%*D79</f>
        <v>15.499600000000001</v>
      </c>
      <c r="G79" s="97">
        <f>5%*D79</f>
        <v>38.749000000000002</v>
      </c>
      <c r="H79" s="96">
        <f t="shared" si="25"/>
        <v>54.248600000000003</v>
      </c>
      <c r="I79" s="97">
        <v>0</v>
      </c>
      <c r="J79" s="97"/>
      <c r="K79" s="97"/>
      <c r="L79" s="97"/>
      <c r="M79" s="97">
        <f t="shared" si="24"/>
        <v>0</v>
      </c>
      <c r="N79" s="35"/>
      <c r="O79" s="36"/>
      <c r="P79" s="234">
        <f>G79*1.036*20%*8000000</f>
        <v>64230342.400000013</v>
      </c>
      <c r="Q79" s="16"/>
      <c r="S79" s="335" t="s">
        <v>687</v>
      </c>
      <c r="U79" s="1" t="s">
        <v>693</v>
      </c>
    </row>
    <row r="80" spans="1:22" ht="18.75" customHeight="1" x14ac:dyDescent="0.3">
      <c r="A80" s="13"/>
      <c r="B80" s="98" t="s">
        <v>60</v>
      </c>
      <c r="C80" s="99" t="s">
        <v>21</v>
      </c>
      <c r="D80" s="96">
        <v>949.55</v>
      </c>
      <c r="E80" s="101" t="s">
        <v>645</v>
      </c>
      <c r="F80" s="96">
        <f>2%*D80</f>
        <v>18.991</v>
      </c>
      <c r="G80" s="97">
        <f>6%*D80</f>
        <v>56.972999999999992</v>
      </c>
      <c r="H80" s="96">
        <f t="shared" si="25"/>
        <v>75.963999999999999</v>
      </c>
      <c r="I80" s="97">
        <v>0</v>
      </c>
      <c r="J80" s="97"/>
      <c r="K80" s="97">
        <v>0</v>
      </c>
      <c r="L80" s="97">
        <v>5</v>
      </c>
      <c r="M80" s="97">
        <f t="shared" si="24"/>
        <v>5</v>
      </c>
      <c r="N80" s="35"/>
      <c r="O80" s="36"/>
      <c r="P80" s="234">
        <f t="shared" ref="P80:P83" si="26">G80*1.036*20%*8500000</f>
        <v>100340847.59999999</v>
      </c>
      <c r="Q80" s="16"/>
      <c r="S80" s="335" t="s">
        <v>688</v>
      </c>
      <c r="U80" s="1" t="s">
        <v>693</v>
      </c>
    </row>
    <row r="81" spans="1:22" ht="18.75" customHeight="1" x14ac:dyDescent="0.3">
      <c r="A81" s="13"/>
      <c r="B81" s="14" t="s">
        <v>61</v>
      </c>
      <c r="C81" s="15" t="s">
        <v>22</v>
      </c>
      <c r="D81" s="26">
        <v>1226.55</v>
      </c>
      <c r="E81" s="101" t="s">
        <v>645</v>
      </c>
      <c r="F81" s="96">
        <f>5%*D80</f>
        <v>47.477499999999999</v>
      </c>
      <c r="G81" s="96">
        <f>6%*D80</f>
        <v>56.972999999999992</v>
      </c>
      <c r="H81" s="96">
        <f>SUM(F81:G81)</f>
        <v>104.45049999999999</v>
      </c>
      <c r="I81" s="19">
        <v>0</v>
      </c>
      <c r="J81" s="19">
        <v>0</v>
      </c>
      <c r="K81" s="19">
        <v>0</v>
      </c>
      <c r="L81" s="19"/>
      <c r="M81" s="19">
        <f t="shared" si="24"/>
        <v>0</v>
      </c>
      <c r="N81" s="35"/>
      <c r="O81" s="36"/>
      <c r="P81" s="234">
        <f t="shared" si="26"/>
        <v>100340847.59999999</v>
      </c>
      <c r="Q81" s="16"/>
      <c r="S81" s="1" t="s">
        <v>689</v>
      </c>
      <c r="V81" s="1" t="s">
        <v>693</v>
      </c>
    </row>
    <row r="82" spans="1:22" ht="18.75" customHeight="1" x14ac:dyDescent="0.3">
      <c r="A82" s="16"/>
      <c r="B82" s="55" t="s">
        <v>62</v>
      </c>
      <c r="C82" s="56" t="s">
        <v>43</v>
      </c>
      <c r="D82" s="57">
        <v>133</v>
      </c>
      <c r="E82" s="101" t="s">
        <v>645</v>
      </c>
      <c r="F82" s="26">
        <f>4%*D82</f>
        <v>5.32</v>
      </c>
      <c r="G82" s="19">
        <f>7%*D82</f>
        <v>9.31</v>
      </c>
      <c r="H82" s="26">
        <f t="shared" si="25"/>
        <v>14.63</v>
      </c>
      <c r="I82" s="19">
        <v>0</v>
      </c>
      <c r="J82" s="19"/>
      <c r="K82" s="19"/>
      <c r="L82" s="19">
        <v>6</v>
      </c>
      <c r="M82" s="19">
        <f t="shared" si="24"/>
        <v>6</v>
      </c>
      <c r="N82" s="35"/>
      <c r="O82" s="36"/>
      <c r="P82" s="234">
        <f t="shared" si="26"/>
        <v>16396772.000000002</v>
      </c>
      <c r="Q82" s="16"/>
      <c r="S82" s="1" t="s">
        <v>690</v>
      </c>
      <c r="V82" s="1" t="s">
        <v>693</v>
      </c>
    </row>
    <row r="83" spans="1:22" ht="18.75" customHeight="1" x14ac:dyDescent="0.3">
      <c r="A83" s="87"/>
      <c r="B83" s="14" t="s">
        <v>63</v>
      </c>
      <c r="C83" s="15" t="s">
        <v>44</v>
      </c>
      <c r="D83" s="26">
        <v>324.64999999999998</v>
      </c>
      <c r="E83" s="101" t="s">
        <v>645</v>
      </c>
      <c r="F83" s="26">
        <f>3%*D82</f>
        <v>3.9899999999999998</v>
      </c>
      <c r="G83" s="19">
        <f>D82*10%</f>
        <v>13.3</v>
      </c>
      <c r="H83" s="26">
        <f>F83+G83</f>
        <v>17.29</v>
      </c>
      <c r="I83" s="19"/>
      <c r="J83" s="19"/>
      <c r="K83" s="19"/>
      <c r="L83" s="19"/>
      <c r="M83" s="19"/>
      <c r="N83" s="35"/>
      <c r="O83" s="36"/>
      <c r="P83" s="234">
        <f t="shared" si="26"/>
        <v>23423960.000000004</v>
      </c>
      <c r="Q83" s="16"/>
      <c r="S83" s="1" t="s">
        <v>691</v>
      </c>
      <c r="U83" s="1" t="s">
        <v>692</v>
      </c>
    </row>
    <row r="84" spans="1:22" ht="18.75" customHeight="1" x14ac:dyDescent="0.3">
      <c r="A84" s="87"/>
      <c r="B84" s="14" t="s">
        <v>64</v>
      </c>
      <c r="C84" s="15" t="s">
        <v>32</v>
      </c>
      <c r="D84" s="26">
        <v>246.5</v>
      </c>
      <c r="E84" s="101" t="s">
        <v>645</v>
      </c>
      <c r="F84" s="19">
        <f>4%*D84</f>
        <v>9.86</v>
      </c>
      <c r="G84" s="135">
        <f>3%*D84</f>
        <v>7.3949999999999996</v>
      </c>
      <c r="H84" s="26">
        <f t="shared" si="25"/>
        <v>17.254999999999999</v>
      </c>
      <c r="I84" s="19">
        <v>0</v>
      </c>
      <c r="J84" s="19"/>
      <c r="K84" s="19">
        <v>0</v>
      </c>
      <c r="L84" s="19">
        <v>3</v>
      </c>
      <c r="M84" s="19">
        <f t="shared" si="24"/>
        <v>3</v>
      </c>
      <c r="N84" s="35"/>
      <c r="O84" s="36"/>
      <c r="P84" s="234">
        <f>G84*1.036*20%*8000000</f>
        <v>12257952.000000002</v>
      </c>
      <c r="Q84" s="16"/>
      <c r="S84" s="1" t="s">
        <v>694</v>
      </c>
      <c r="U84" s="1" t="s">
        <v>692</v>
      </c>
    </row>
    <row r="85" spans="1:22" ht="19.5" customHeight="1" x14ac:dyDescent="0.3">
      <c r="A85" s="87"/>
      <c r="B85" s="98"/>
      <c r="C85" s="296"/>
      <c r="D85" s="289">
        <f>SUM(D77:D84)</f>
        <v>4198.2299999999996</v>
      </c>
      <c r="E85" s="288"/>
      <c r="F85" s="289">
        <f t="shared" ref="F85:M85" si="27">SUM(F77:F84)</f>
        <v>115.6781</v>
      </c>
      <c r="G85" s="289">
        <f t="shared" si="27"/>
        <v>200.92000000000002</v>
      </c>
      <c r="H85" s="289">
        <f t="shared" si="27"/>
        <v>316.59809999999999</v>
      </c>
      <c r="I85" s="289">
        <f t="shared" si="27"/>
        <v>0</v>
      </c>
      <c r="J85" s="289">
        <f t="shared" si="27"/>
        <v>0</v>
      </c>
      <c r="K85" s="289">
        <f t="shared" si="27"/>
        <v>0</v>
      </c>
      <c r="L85" s="289">
        <f t="shared" si="27"/>
        <v>19</v>
      </c>
      <c r="M85" s="289">
        <f t="shared" si="27"/>
        <v>19</v>
      </c>
      <c r="N85" s="337"/>
      <c r="O85" s="338"/>
      <c r="P85" s="289">
        <f>SUM(P77:P84)</f>
        <v>347192193.60000002</v>
      </c>
      <c r="Q85" s="339"/>
      <c r="R85" s="340"/>
      <c r="S85" s="1" t="s">
        <v>695</v>
      </c>
      <c r="U85" s="1" t="s">
        <v>692</v>
      </c>
    </row>
    <row r="86" spans="1:22" ht="21" customHeight="1" x14ac:dyDescent="0.3">
      <c r="A86" s="16"/>
      <c r="B86" s="14" t="s">
        <v>57</v>
      </c>
      <c r="C86" s="15" t="s">
        <v>22</v>
      </c>
      <c r="D86" s="26">
        <v>1226.55</v>
      </c>
      <c r="E86" s="47" t="s">
        <v>185</v>
      </c>
      <c r="F86" s="96">
        <f>2%*D86</f>
        <v>24.530999999999999</v>
      </c>
      <c r="G86" s="97">
        <f>6%*D86</f>
        <v>73.592999999999989</v>
      </c>
      <c r="H86" s="96">
        <f t="shared" ref="H86" si="28">SUM(F86:G86)</f>
        <v>98.123999999999995</v>
      </c>
      <c r="I86" s="97">
        <v>0</v>
      </c>
      <c r="J86" s="97"/>
      <c r="K86" s="97">
        <v>0</v>
      </c>
      <c r="L86" s="97">
        <v>5</v>
      </c>
      <c r="M86" s="97">
        <f t="shared" ref="M86" si="29">SUM(I86:L86)</f>
        <v>5</v>
      </c>
      <c r="N86" s="35"/>
      <c r="O86" s="36"/>
      <c r="P86" s="234">
        <f t="shared" ref="P86" si="30">G86*1.036*20%*8500000</f>
        <v>129611991.59999999</v>
      </c>
      <c r="Q86" s="87"/>
      <c r="S86" s="47" t="s">
        <v>185</v>
      </c>
      <c r="V86" s="1" t="s">
        <v>692</v>
      </c>
    </row>
    <row r="87" spans="1:22" ht="21" customHeight="1" x14ac:dyDescent="0.3">
      <c r="A87" s="5"/>
      <c r="B87" s="1" t="s">
        <v>58</v>
      </c>
      <c r="C87" s="99" t="s">
        <v>21</v>
      </c>
      <c r="D87" s="96">
        <v>949.55</v>
      </c>
      <c r="E87" s="47" t="s">
        <v>185</v>
      </c>
      <c r="F87" s="96">
        <f>2%*D87</f>
        <v>18.991</v>
      </c>
      <c r="G87" s="97">
        <f>7%*D87</f>
        <v>66.468500000000006</v>
      </c>
      <c r="H87" s="96">
        <f t="shared" ref="H87" si="31">SUM(F87:G87)</f>
        <v>85.459500000000006</v>
      </c>
      <c r="I87" s="97">
        <v>0</v>
      </c>
      <c r="J87" s="97"/>
      <c r="K87" s="97">
        <v>0</v>
      </c>
      <c r="L87" s="97"/>
      <c r="M87" s="97">
        <f t="shared" ref="M87" si="32">SUM(I87:L87)</f>
        <v>0</v>
      </c>
      <c r="N87" s="35"/>
      <c r="O87" s="36"/>
      <c r="P87" s="234">
        <f t="shared" ref="P87" si="33">G87*1.036*20%*8500000</f>
        <v>117064322.2</v>
      </c>
      <c r="Q87" s="5"/>
      <c r="S87" s="41"/>
    </row>
    <row r="88" spans="1:22" ht="21" customHeight="1" x14ac:dyDescent="0.3">
      <c r="A88" s="5"/>
      <c r="C88" s="10"/>
      <c r="D88" s="309">
        <f>SUM(D86:D87)</f>
        <v>2176.1</v>
      </c>
      <c r="E88" s="336"/>
      <c r="F88" s="309">
        <f t="shared" ref="F88:M88" si="34">SUM(F86:F87)</f>
        <v>43.521999999999998</v>
      </c>
      <c r="G88" s="309">
        <f t="shared" si="34"/>
        <v>140.0615</v>
      </c>
      <c r="H88" s="309">
        <f t="shared" si="34"/>
        <v>183.58350000000002</v>
      </c>
      <c r="I88" s="309">
        <f t="shared" si="34"/>
        <v>0</v>
      </c>
      <c r="J88" s="309">
        <f t="shared" si="34"/>
        <v>0</v>
      </c>
      <c r="K88" s="309">
        <f t="shared" si="34"/>
        <v>0</v>
      </c>
      <c r="L88" s="309">
        <f t="shared" si="34"/>
        <v>5</v>
      </c>
      <c r="M88" s="309">
        <f t="shared" si="34"/>
        <v>5</v>
      </c>
      <c r="N88" s="93"/>
      <c r="O88" s="51"/>
      <c r="P88" s="309">
        <f>SUM(P86:P87)</f>
        <v>246676313.80000001</v>
      </c>
      <c r="Q88" s="5"/>
      <c r="S88" s="41"/>
    </row>
    <row r="89" spans="1:22" ht="21" customHeight="1" x14ac:dyDescent="0.3">
      <c r="A89" s="5"/>
      <c r="B89" s="1" t="s">
        <v>57</v>
      </c>
      <c r="C89" s="15" t="s">
        <v>22</v>
      </c>
      <c r="D89" s="26">
        <v>1226.55</v>
      </c>
      <c r="E89" s="335" t="s">
        <v>697</v>
      </c>
      <c r="F89" s="96">
        <f>2%*D89</f>
        <v>24.530999999999999</v>
      </c>
      <c r="G89" s="97">
        <f>6%*D89</f>
        <v>73.592999999999989</v>
      </c>
      <c r="H89" s="96">
        <f t="shared" ref="H89:H90" si="35">SUM(F89:G89)</f>
        <v>98.123999999999995</v>
      </c>
      <c r="I89" s="97">
        <v>0</v>
      </c>
      <c r="J89" s="97"/>
      <c r="K89" s="97">
        <v>0</v>
      </c>
      <c r="L89" s="97">
        <v>5</v>
      </c>
      <c r="M89" s="97">
        <f t="shared" ref="M89:M90" si="36">SUM(I89:L89)</f>
        <v>5</v>
      </c>
      <c r="N89" s="35"/>
      <c r="O89" s="36"/>
      <c r="P89" s="234">
        <f t="shared" ref="P89:P90" si="37">G89*1.036*20%*8500000</f>
        <v>129611991.59999999</v>
      </c>
      <c r="Q89" s="5"/>
      <c r="S89" s="41"/>
    </row>
    <row r="90" spans="1:22" ht="21" customHeight="1" x14ac:dyDescent="0.3">
      <c r="A90" s="5"/>
      <c r="B90" s="1" t="s">
        <v>58</v>
      </c>
      <c r="C90" s="15" t="s">
        <v>44</v>
      </c>
      <c r="D90" s="26">
        <v>324.64999999999998</v>
      </c>
      <c r="E90" s="335" t="s">
        <v>697</v>
      </c>
      <c r="F90" s="96">
        <f>2%*D90</f>
        <v>6.4929999999999994</v>
      </c>
      <c r="G90" s="97">
        <f>6%*D90</f>
        <v>19.478999999999999</v>
      </c>
      <c r="H90" s="96">
        <f t="shared" si="35"/>
        <v>25.971999999999998</v>
      </c>
      <c r="I90" s="97">
        <v>0</v>
      </c>
      <c r="J90" s="97"/>
      <c r="K90" s="97">
        <v>0</v>
      </c>
      <c r="L90" s="97">
        <v>5</v>
      </c>
      <c r="M90" s="97">
        <f t="shared" si="36"/>
        <v>5</v>
      </c>
      <c r="N90" s="35"/>
      <c r="O90" s="36"/>
      <c r="P90" s="234">
        <f t="shared" si="37"/>
        <v>34306414.799999997</v>
      </c>
      <c r="Q90" s="5"/>
      <c r="S90" s="41"/>
    </row>
    <row r="91" spans="1:22" ht="21" customHeight="1" x14ac:dyDescent="0.3">
      <c r="A91" s="5"/>
      <c r="C91" s="10"/>
      <c r="D91" s="309">
        <f>SUM(D89:D90)</f>
        <v>1551.1999999999998</v>
      </c>
      <c r="E91" s="336"/>
      <c r="F91" s="309">
        <f t="shared" ref="F91:M91" si="38">SUM(F89:F90)</f>
        <v>31.023999999999997</v>
      </c>
      <c r="G91" s="309">
        <f t="shared" si="38"/>
        <v>93.071999999999989</v>
      </c>
      <c r="H91" s="309">
        <f t="shared" si="38"/>
        <v>124.09599999999999</v>
      </c>
      <c r="I91" s="309">
        <f t="shared" si="38"/>
        <v>0</v>
      </c>
      <c r="J91" s="309">
        <f t="shared" si="38"/>
        <v>0</v>
      </c>
      <c r="K91" s="309">
        <f t="shared" si="38"/>
        <v>0</v>
      </c>
      <c r="L91" s="309">
        <f t="shared" si="38"/>
        <v>10</v>
      </c>
      <c r="M91" s="309">
        <f t="shared" si="38"/>
        <v>10</v>
      </c>
      <c r="N91" s="93"/>
      <c r="O91" s="51"/>
      <c r="P91" s="309">
        <f>SUM(P89:P90)</f>
        <v>163918406.39999998</v>
      </c>
      <c r="Q91" s="5"/>
      <c r="S91" s="41"/>
    </row>
    <row r="92" spans="1:22" ht="21.75" customHeight="1" x14ac:dyDescent="0.3">
      <c r="A92" s="342"/>
      <c r="B92" s="343"/>
      <c r="C92" s="343"/>
      <c r="D92" s="344"/>
      <c r="E92" s="345"/>
      <c r="F92" s="344"/>
      <c r="G92" s="346"/>
      <c r="H92" s="344"/>
      <c r="I92" s="346"/>
      <c r="J92" s="346">
        <f>SUM(J77:J86)</f>
        <v>0</v>
      </c>
      <c r="K92" s="346"/>
      <c r="L92" s="346"/>
      <c r="M92" s="346"/>
      <c r="N92" s="345"/>
      <c r="O92" s="345"/>
      <c r="P92" s="347"/>
      <c r="Q92" s="348"/>
    </row>
    <row r="93" spans="1:22" ht="18.75" customHeight="1" x14ac:dyDescent="0.3">
      <c r="A93" s="63">
        <v>5</v>
      </c>
      <c r="B93" s="64" t="s">
        <v>96</v>
      </c>
      <c r="C93" s="65"/>
      <c r="D93" s="66"/>
      <c r="E93" s="67"/>
      <c r="F93" s="66"/>
      <c r="G93" s="66"/>
      <c r="H93" s="66"/>
      <c r="I93" s="82"/>
      <c r="J93" s="82"/>
      <c r="K93" s="82"/>
      <c r="L93" s="82"/>
      <c r="M93" s="82"/>
      <c r="N93" s="69"/>
      <c r="O93" s="70"/>
      <c r="P93" s="233"/>
      <c r="Q93" s="68"/>
    </row>
    <row r="94" spans="1:22" ht="27" customHeight="1" x14ac:dyDescent="0.3">
      <c r="A94" s="16"/>
      <c r="B94" s="14" t="s">
        <v>57</v>
      </c>
      <c r="C94" s="15" t="s">
        <v>22</v>
      </c>
      <c r="D94" s="26">
        <v>18.600000000000001</v>
      </c>
      <c r="E94" s="49" t="s">
        <v>187</v>
      </c>
      <c r="F94" s="26">
        <f>40%*D94</f>
        <v>7.4400000000000013</v>
      </c>
      <c r="G94" s="26">
        <f>20%*D94</f>
        <v>3.7200000000000006</v>
      </c>
      <c r="H94" s="26">
        <f t="shared" ref="H94:H101" si="39">SUM(F94:G94)</f>
        <v>11.160000000000002</v>
      </c>
      <c r="I94" s="19">
        <v>0</v>
      </c>
      <c r="J94" s="19"/>
      <c r="K94" s="19"/>
      <c r="L94" s="19">
        <v>1</v>
      </c>
      <c r="M94" s="19">
        <f>SUM(I94:L94)</f>
        <v>1</v>
      </c>
      <c r="N94" s="35"/>
      <c r="O94" s="36"/>
      <c r="P94" s="161">
        <f t="shared" ref="P94:P101" si="40">G94*0.486*30%*40000000</f>
        <v>21695040.000000004</v>
      </c>
      <c r="Q94" s="16"/>
    </row>
    <row r="95" spans="1:22" ht="27.75" customHeight="1" x14ac:dyDescent="0.3">
      <c r="A95" s="16"/>
      <c r="B95" s="14" t="s">
        <v>58</v>
      </c>
      <c r="C95" s="15" t="s">
        <v>21</v>
      </c>
      <c r="D95" s="26">
        <v>24.61</v>
      </c>
      <c r="E95" s="49" t="s">
        <v>187</v>
      </c>
      <c r="F95" s="26">
        <f>10%*D95</f>
        <v>2.4610000000000003</v>
      </c>
      <c r="G95" s="26">
        <f>20%*D95</f>
        <v>4.9220000000000006</v>
      </c>
      <c r="H95" s="26">
        <f t="shared" si="39"/>
        <v>7.3830000000000009</v>
      </c>
      <c r="I95" s="19">
        <v>0</v>
      </c>
      <c r="J95" s="19"/>
      <c r="K95" s="19"/>
      <c r="L95" s="19">
        <v>1</v>
      </c>
      <c r="M95" s="19">
        <f t="shared" ref="M95:M101" si="41">SUM(I95:L95)</f>
        <v>1</v>
      </c>
      <c r="N95" s="35"/>
      <c r="O95" s="40" t="s">
        <v>50</v>
      </c>
      <c r="P95" s="161">
        <f t="shared" si="40"/>
        <v>28705104</v>
      </c>
      <c r="Q95" s="16"/>
      <c r="S95" s="1" t="s">
        <v>636</v>
      </c>
      <c r="T95" s="1" t="s">
        <v>637</v>
      </c>
      <c r="U95" s="1" t="s">
        <v>638</v>
      </c>
    </row>
    <row r="96" spans="1:22" ht="27.75" customHeight="1" x14ac:dyDescent="0.3">
      <c r="A96" s="16"/>
      <c r="B96" s="14" t="s">
        <v>59</v>
      </c>
      <c r="C96" s="15" t="s">
        <v>43</v>
      </c>
      <c r="D96" s="26">
        <v>28.64</v>
      </c>
      <c r="E96" s="49" t="s">
        <v>187</v>
      </c>
      <c r="F96" s="96">
        <f>10%*D96</f>
        <v>2.8640000000000003</v>
      </c>
      <c r="G96" s="26">
        <f>20%*D96</f>
        <v>5.7280000000000006</v>
      </c>
      <c r="H96" s="26">
        <f t="shared" si="39"/>
        <v>8.5920000000000005</v>
      </c>
      <c r="I96" s="19">
        <v>0</v>
      </c>
      <c r="J96" s="19"/>
      <c r="K96" s="19"/>
      <c r="L96" s="19"/>
      <c r="M96" s="19">
        <f t="shared" si="41"/>
        <v>0</v>
      </c>
      <c r="N96" s="35"/>
      <c r="O96" s="40" t="s">
        <v>137</v>
      </c>
      <c r="P96" s="161">
        <f t="shared" si="40"/>
        <v>33405695.999999996</v>
      </c>
      <c r="Q96" s="16"/>
      <c r="T96" s="47" t="s">
        <v>187</v>
      </c>
    </row>
    <row r="97" spans="1:21" ht="30" customHeight="1" x14ac:dyDescent="0.3">
      <c r="A97" s="16"/>
      <c r="B97" s="14" t="s">
        <v>60</v>
      </c>
      <c r="C97" s="15" t="s">
        <v>44</v>
      </c>
      <c r="D97" s="26">
        <v>39</v>
      </c>
      <c r="E97" s="49" t="s">
        <v>187</v>
      </c>
      <c r="F97" s="26">
        <f>9%*D97</f>
        <v>3.51</v>
      </c>
      <c r="G97" s="26">
        <f>20%*D97</f>
        <v>7.8000000000000007</v>
      </c>
      <c r="H97" s="26">
        <f t="shared" si="39"/>
        <v>11.31</v>
      </c>
      <c r="I97" s="19">
        <v>0</v>
      </c>
      <c r="J97" s="19">
        <v>0</v>
      </c>
      <c r="K97" s="19">
        <v>0</v>
      </c>
      <c r="L97" s="19">
        <v>3</v>
      </c>
      <c r="M97" s="19">
        <f t="shared" si="41"/>
        <v>3</v>
      </c>
      <c r="N97" s="35"/>
      <c r="O97" s="36" t="s">
        <v>145</v>
      </c>
      <c r="P97" s="161">
        <f t="shared" si="40"/>
        <v>45489600</v>
      </c>
      <c r="Q97" s="16"/>
      <c r="T97" s="47" t="s">
        <v>631</v>
      </c>
    </row>
    <row r="98" spans="1:21" ht="30.75" customHeight="1" x14ac:dyDescent="0.3">
      <c r="A98" s="16"/>
      <c r="B98" s="14" t="s">
        <v>61</v>
      </c>
      <c r="C98" s="15" t="s">
        <v>33</v>
      </c>
      <c r="D98" s="26">
        <v>10.9</v>
      </c>
      <c r="E98" s="49" t="s">
        <v>187</v>
      </c>
      <c r="F98" s="26">
        <f>10%*D98</f>
        <v>1.0900000000000001</v>
      </c>
      <c r="G98" s="26">
        <f>15%*D98</f>
        <v>1.635</v>
      </c>
      <c r="H98" s="26">
        <f t="shared" si="39"/>
        <v>2.7250000000000001</v>
      </c>
      <c r="I98" s="19">
        <v>0</v>
      </c>
      <c r="J98" s="19">
        <v>0</v>
      </c>
      <c r="K98" s="19">
        <v>0</v>
      </c>
      <c r="L98" s="19">
        <v>2</v>
      </c>
      <c r="M98" s="19">
        <f t="shared" si="41"/>
        <v>2</v>
      </c>
      <c r="N98" s="35"/>
      <c r="O98" s="40" t="s">
        <v>626</v>
      </c>
      <c r="P98" s="161">
        <f t="shared" si="40"/>
        <v>9535320</v>
      </c>
      <c r="Q98" s="16"/>
    </row>
    <row r="99" spans="1:21" ht="29.25" customHeight="1" x14ac:dyDescent="0.3">
      <c r="A99" s="16"/>
      <c r="B99" s="14" t="s">
        <v>62</v>
      </c>
      <c r="C99" s="15" t="s">
        <v>655</v>
      </c>
      <c r="D99" s="26">
        <v>5</v>
      </c>
      <c r="E99" s="49" t="s">
        <v>187</v>
      </c>
      <c r="F99" s="26">
        <f>8%*D99</f>
        <v>0.4</v>
      </c>
      <c r="G99" s="26">
        <f>15%*D99</f>
        <v>0.75</v>
      </c>
      <c r="H99" s="26">
        <f t="shared" si="39"/>
        <v>1.1499999999999999</v>
      </c>
      <c r="I99" s="19">
        <v>0</v>
      </c>
      <c r="J99" s="19">
        <v>0</v>
      </c>
      <c r="K99" s="19">
        <v>0</v>
      </c>
      <c r="L99" s="19"/>
      <c r="M99" s="19">
        <f t="shared" si="41"/>
        <v>0</v>
      </c>
      <c r="N99" s="35"/>
      <c r="O99" s="36"/>
      <c r="P99" s="161">
        <f t="shared" si="40"/>
        <v>4374000</v>
      </c>
      <c r="Q99" s="16"/>
    </row>
    <row r="100" spans="1:21" ht="32.25" customHeight="1" x14ac:dyDescent="0.3">
      <c r="A100" s="16"/>
      <c r="B100" s="14">
        <v>9</v>
      </c>
      <c r="C100" s="15" t="s">
        <v>30</v>
      </c>
      <c r="D100" s="26">
        <v>12.75</v>
      </c>
      <c r="E100" s="49" t="s">
        <v>187</v>
      </c>
      <c r="F100" s="26">
        <f>10%*D100</f>
        <v>1.2750000000000001</v>
      </c>
      <c r="G100" s="26">
        <f>15%*D100</f>
        <v>1.9124999999999999</v>
      </c>
      <c r="H100" s="26">
        <f t="shared" si="39"/>
        <v>3.1875</v>
      </c>
      <c r="I100" s="19">
        <v>0</v>
      </c>
      <c r="J100" s="19">
        <v>0</v>
      </c>
      <c r="K100" s="19"/>
      <c r="L100" s="19"/>
      <c r="M100" s="19">
        <f t="shared" si="41"/>
        <v>0</v>
      </c>
      <c r="N100" s="35"/>
      <c r="O100" s="36"/>
      <c r="P100" s="161">
        <f t="shared" si="40"/>
        <v>11153700</v>
      </c>
      <c r="Q100" s="16"/>
    </row>
    <row r="101" spans="1:21" ht="28.5" customHeight="1" x14ac:dyDescent="0.3">
      <c r="A101" s="87"/>
      <c r="B101" s="55" t="s">
        <v>64</v>
      </c>
      <c r="C101" s="56" t="s">
        <v>31</v>
      </c>
      <c r="D101" s="57">
        <v>6</v>
      </c>
      <c r="E101" s="58" t="s">
        <v>187</v>
      </c>
      <c r="F101" s="57">
        <f>10%*D101</f>
        <v>0.60000000000000009</v>
      </c>
      <c r="G101" s="57">
        <f>20%*D101</f>
        <v>1.2000000000000002</v>
      </c>
      <c r="H101" s="57">
        <f t="shared" si="39"/>
        <v>1.8000000000000003</v>
      </c>
      <c r="I101" s="79">
        <v>0</v>
      </c>
      <c r="J101" s="79">
        <v>0</v>
      </c>
      <c r="K101" s="79">
        <v>0</v>
      </c>
      <c r="L101" s="79">
        <v>1</v>
      </c>
      <c r="M101" s="79">
        <f t="shared" si="41"/>
        <v>1</v>
      </c>
      <c r="N101" s="80"/>
      <c r="O101" s="81"/>
      <c r="P101" s="171">
        <f t="shared" si="40"/>
        <v>6998400</v>
      </c>
      <c r="Q101" s="87"/>
    </row>
    <row r="102" spans="1:21" ht="23.25" customHeight="1" x14ac:dyDescent="0.3">
      <c r="A102" s="16"/>
      <c r="B102" s="351"/>
      <c r="C102" s="287"/>
      <c r="D102" s="33">
        <f>SUM(D94:D101)</f>
        <v>145.5</v>
      </c>
      <c r="E102" s="294"/>
      <c r="F102" s="33">
        <f t="shared" ref="F102:M102" si="42">SUM(F94:F101)</f>
        <v>19.64</v>
      </c>
      <c r="G102" s="33">
        <f t="shared" si="42"/>
        <v>27.667500000000004</v>
      </c>
      <c r="H102" s="33">
        <f t="shared" si="42"/>
        <v>47.307500000000005</v>
      </c>
      <c r="I102" s="33">
        <f t="shared" si="42"/>
        <v>0</v>
      </c>
      <c r="J102" s="33">
        <f t="shared" si="42"/>
        <v>0</v>
      </c>
      <c r="K102" s="33">
        <f t="shared" si="42"/>
        <v>0</v>
      </c>
      <c r="L102" s="33">
        <f t="shared" si="42"/>
        <v>8</v>
      </c>
      <c r="M102" s="33">
        <f t="shared" si="42"/>
        <v>8</v>
      </c>
      <c r="N102" s="325"/>
      <c r="O102" s="326"/>
      <c r="P102" s="33">
        <f>SUM(P94:P101)</f>
        <v>161356860</v>
      </c>
      <c r="Q102" s="16"/>
    </row>
    <row r="103" spans="1:21" ht="23.25" customHeight="1" x14ac:dyDescent="0.3">
      <c r="A103" s="6"/>
      <c r="B103" s="349" t="s">
        <v>57</v>
      </c>
      <c r="C103" s="10" t="s">
        <v>21</v>
      </c>
      <c r="D103" s="90">
        <v>24.61</v>
      </c>
      <c r="E103" s="91" t="s">
        <v>631</v>
      </c>
      <c r="F103" s="66">
        <f>10%*D103</f>
        <v>2.4610000000000003</v>
      </c>
      <c r="G103" s="66">
        <f>10%*D103</f>
        <v>2.4610000000000003</v>
      </c>
      <c r="H103" s="66">
        <f t="shared" ref="H103:H104" si="43">SUM(F103:G103)</f>
        <v>4.9220000000000006</v>
      </c>
      <c r="I103" s="82">
        <v>0</v>
      </c>
      <c r="J103" s="82">
        <v>0</v>
      </c>
      <c r="K103" s="82"/>
      <c r="L103" s="82">
        <v>2</v>
      </c>
      <c r="M103" s="82">
        <f t="shared" ref="M103:M104" si="44">SUM(I103:L103)</f>
        <v>2</v>
      </c>
      <c r="N103" s="69"/>
      <c r="O103" s="70"/>
      <c r="P103" s="350">
        <f t="shared" ref="P103:P104" si="45">G103*0.486*30%*40000000</f>
        <v>14352552</v>
      </c>
      <c r="Q103" s="6"/>
    </row>
    <row r="104" spans="1:21" ht="23.25" customHeight="1" x14ac:dyDescent="0.3">
      <c r="A104" s="5"/>
      <c r="B104" s="1" t="s">
        <v>58</v>
      </c>
      <c r="C104" s="56" t="s">
        <v>43</v>
      </c>
      <c r="D104" s="57">
        <v>28.64</v>
      </c>
      <c r="E104" s="85" t="s">
        <v>631</v>
      </c>
      <c r="F104" s="57">
        <f>10%*D104</f>
        <v>2.8640000000000003</v>
      </c>
      <c r="G104" s="57">
        <f>12%*D104</f>
        <v>3.4367999999999999</v>
      </c>
      <c r="H104" s="57">
        <f t="shared" si="43"/>
        <v>6.3008000000000006</v>
      </c>
      <c r="I104" s="79">
        <v>0</v>
      </c>
      <c r="J104" s="79">
        <v>0</v>
      </c>
      <c r="K104" s="79">
        <v>0</v>
      </c>
      <c r="L104" s="79">
        <v>1</v>
      </c>
      <c r="M104" s="79">
        <f t="shared" si="44"/>
        <v>1</v>
      </c>
      <c r="N104" s="80"/>
      <c r="O104" s="81"/>
      <c r="P104" s="171">
        <f t="shared" si="45"/>
        <v>20043417.600000001</v>
      </c>
      <c r="Q104" s="5"/>
    </row>
    <row r="105" spans="1:21" ht="23.25" customHeight="1" x14ac:dyDescent="0.3">
      <c r="A105" s="16"/>
      <c r="B105" s="341"/>
      <c r="C105" s="15"/>
      <c r="D105" s="33">
        <f>SUM(D103:D104)</f>
        <v>53.25</v>
      </c>
      <c r="E105" s="294"/>
      <c r="F105" s="33">
        <f t="shared" ref="F105:M105" si="46">SUM(F103:F104)</f>
        <v>5.3250000000000011</v>
      </c>
      <c r="G105" s="33">
        <f t="shared" si="46"/>
        <v>5.8978000000000002</v>
      </c>
      <c r="H105" s="33">
        <f t="shared" si="46"/>
        <v>11.222800000000001</v>
      </c>
      <c r="I105" s="33">
        <f t="shared" si="46"/>
        <v>0</v>
      </c>
      <c r="J105" s="33">
        <f t="shared" si="46"/>
        <v>0</v>
      </c>
      <c r="K105" s="33">
        <f t="shared" si="46"/>
        <v>0</v>
      </c>
      <c r="L105" s="33">
        <f t="shared" si="46"/>
        <v>3</v>
      </c>
      <c r="M105" s="33">
        <f t="shared" si="46"/>
        <v>3</v>
      </c>
      <c r="N105" s="325"/>
      <c r="O105" s="326"/>
      <c r="P105" s="33">
        <f>SUM(P103:P104)</f>
        <v>34395969.600000001</v>
      </c>
      <c r="Q105" s="16"/>
    </row>
    <row r="106" spans="1:21" ht="21" customHeight="1" x14ac:dyDescent="0.3">
      <c r="A106" s="376"/>
      <c r="B106" s="377"/>
      <c r="C106" s="377"/>
      <c r="D106" s="378"/>
      <c r="E106" s="379"/>
      <c r="F106" s="378"/>
      <c r="G106" s="378"/>
      <c r="H106" s="378"/>
      <c r="I106" s="380"/>
      <c r="J106" s="380">
        <f>SUM(J94:J101)</f>
        <v>0</v>
      </c>
      <c r="K106" s="380"/>
      <c r="L106" s="380"/>
      <c r="M106" s="380"/>
      <c r="N106" s="381"/>
      <c r="O106" s="382"/>
      <c r="P106" s="383"/>
      <c r="Q106" s="376"/>
    </row>
    <row r="107" spans="1:21" ht="0.75" customHeight="1" x14ac:dyDescent="0.3">
      <c r="D107" s="273"/>
      <c r="E107" s="41"/>
      <c r="F107" s="273"/>
      <c r="G107" s="273"/>
      <c r="H107" s="273"/>
      <c r="I107" s="274"/>
      <c r="J107" s="274"/>
      <c r="K107" s="274"/>
      <c r="L107" s="274"/>
      <c r="M107" s="274"/>
      <c r="N107" s="41"/>
      <c r="O107" s="41"/>
      <c r="P107" s="275"/>
    </row>
    <row r="108" spans="1:21" ht="19.5" customHeight="1" x14ac:dyDescent="0.3">
      <c r="A108" s="63">
        <v>6</v>
      </c>
      <c r="B108" s="68" t="s">
        <v>116</v>
      </c>
      <c r="C108" s="68"/>
      <c r="D108" s="66"/>
      <c r="E108" s="67"/>
      <c r="F108" s="66"/>
      <c r="G108" s="82"/>
      <c r="H108" s="66"/>
      <c r="I108" s="82"/>
      <c r="J108" s="82"/>
      <c r="K108" s="82"/>
      <c r="L108" s="82"/>
      <c r="M108" s="82"/>
      <c r="N108" s="69"/>
      <c r="O108" s="70"/>
      <c r="P108" s="233"/>
      <c r="Q108" s="68"/>
      <c r="S108" s="1" t="s">
        <v>596</v>
      </c>
    </row>
    <row r="109" spans="1:21" ht="27.75" customHeight="1" x14ac:dyDescent="0.3">
      <c r="A109" s="27"/>
      <c r="B109" s="152" t="s">
        <v>57</v>
      </c>
      <c r="C109" s="99" t="s">
        <v>30</v>
      </c>
      <c r="D109" s="154">
        <v>54.84</v>
      </c>
      <c r="E109" s="101" t="s">
        <v>181</v>
      </c>
      <c r="F109" s="154">
        <f>4%*D109</f>
        <v>2.1936</v>
      </c>
      <c r="G109" s="155">
        <f>5%*D109</f>
        <v>2.7420000000000004</v>
      </c>
      <c r="H109" s="154">
        <f t="shared" ref="H109:H112" si="47">SUM(F109:G109)</f>
        <v>4.9356000000000009</v>
      </c>
      <c r="I109" s="155">
        <v>0</v>
      </c>
      <c r="J109" s="155"/>
      <c r="K109" s="155"/>
      <c r="L109" s="155">
        <v>2</v>
      </c>
      <c r="M109" s="155">
        <f>SUM(I109:L109)</f>
        <v>2</v>
      </c>
      <c r="N109" s="156" t="s">
        <v>86</v>
      </c>
      <c r="O109" s="36" t="s">
        <v>211</v>
      </c>
      <c r="P109" s="236">
        <f t="shared" ref="P109:P115" si="48">G109*0.347*30*21000000</f>
        <v>599428620</v>
      </c>
      <c r="Q109" s="27"/>
      <c r="S109" s="1" t="s">
        <v>597</v>
      </c>
      <c r="T109" s="1" t="s">
        <v>598</v>
      </c>
      <c r="U109" s="100" t="s">
        <v>625</v>
      </c>
    </row>
    <row r="110" spans="1:21" ht="27" customHeight="1" x14ac:dyDescent="0.3">
      <c r="A110" s="16"/>
      <c r="B110" s="14" t="s">
        <v>58</v>
      </c>
      <c r="C110" s="15" t="s">
        <v>44</v>
      </c>
      <c r="D110" s="26">
        <v>84.65</v>
      </c>
      <c r="E110" s="101" t="s">
        <v>181</v>
      </c>
      <c r="F110" s="26">
        <f>8%*D110</f>
        <v>6.7720000000000002</v>
      </c>
      <c r="G110" s="19">
        <f>7%*D110</f>
        <v>5.9255000000000013</v>
      </c>
      <c r="H110" s="26">
        <f t="shared" si="47"/>
        <v>12.697500000000002</v>
      </c>
      <c r="I110" s="19">
        <v>0</v>
      </c>
      <c r="J110" s="19"/>
      <c r="K110" s="19"/>
      <c r="L110" s="19"/>
      <c r="M110" s="19">
        <f t="shared" ref="M110:M111" si="49">SUM(I110:L110)</f>
        <v>0</v>
      </c>
      <c r="N110" s="35"/>
      <c r="O110" s="40"/>
      <c r="P110" s="236">
        <f t="shared" si="48"/>
        <v>1295373555.0000002</v>
      </c>
      <c r="Q110" s="16"/>
      <c r="S110" s="1" t="s">
        <v>599</v>
      </c>
      <c r="T110" s="1" t="s">
        <v>600</v>
      </c>
      <c r="U110" s="248" t="s">
        <v>671</v>
      </c>
    </row>
    <row r="111" spans="1:21" ht="24" customHeight="1" x14ac:dyDescent="0.3">
      <c r="A111" s="16"/>
      <c r="B111" s="14" t="s">
        <v>59</v>
      </c>
      <c r="C111" s="15" t="s">
        <v>33</v>
      </c>
      <c r="D111" s="26">
        <v>14.2</v>
      </c>
      <c r="E111" s="101" t="s">
        <v>181</v>
      </c>
      <c r="F111" s="96">
        <f>8%*D111</f>
        <v>1.1359999999999999</v>
      </c>
      <c r="G111" s="240">
        <f>12%*D111</f>
        <v>1.704</v>
      </c>
      <c r="H111" s="26">
        <f t="shared" si="47"/>
        <v>2.84</v>
      </c>
      <c r="I111" s="19">
        <v>0</v>
      </c>
      <c r="J111" s="19"/>
      <c r="K111" s="19"/>
      <c r="L111" s="19">
        <v>2</v>
      </c>
      <c r="M111" s="19">
        <f t="shared" si="49"/>
        <v>2</v>
      </c>
      <c r="N111" s="35" t="s">
        <v>88</v>
      </c>
      <c r="O111" s="40" t="s">
        <v>274</v>
      </c>
      <c r="P111" s="236">
        <f t="shared" si="48"/>
        <v>372511439.99999994</v>
      </c>
      <c r="Q111" s="16"/>
      <c r="S111" s="1" t="s">
        <v>592</v>
      </c>
    </row>
    <row r="112" spans="1:21" ht="23.25" customHeight="1" x14ac:dyDescent="0.3">
      <c r="A112" s="87"/>
      <c r="B112" s="98" t="s">
        <v>60</v>
      </c>
      <c r="C112" s="99" t="s">
        <v>35</v>
      </c>
      <c r="D112" s="96">
        <v>33.72</v>
      </c>
      <c r="E112" s="101" t="s">
        <v>181</v>
      </c>
      <c r="F112" s="96">
        <f>8%*D112</f>
        <v>2.6976</v>
      </c>
      <c r="G112" s="97">
        <f>6%*D112</f>
        <v>2.0231999999999997</v>
      </c>
      <c r="H112" s="96">
        <f t="shared" si="47"/>
        <v>4.7207999999999997</v>
      </c>
      <c r="I112" s="97">
        <v>0</v>
      </c>
      <c r="J112" s="97"/>
      <c r="K112" s="97">
        <v>0</v>
      </c>
      <c r="L112" s="97">
        <v>3</v>
      </c>
      <c r="M112" s="97">
        <f>SUM(I112:L112)</f>
        <v>3</v>
      </c>
      <c r="N112" s="35"/>
      <c r="O112" s="159"/>
      <c r="P112" s="236">
        <f t="shared" si="48"/>
        <v>442291751.99999994</v>
      </c>
      <c r="Q112" s="87"/>
    </row>
    <row r="113" spans="1:19" ht="23.25" customHeight="1" x14ac:dyDescent="0.3">
      <c r="A113" s="5"/>
      <c r="B113" s="352"/>
      <c r="C113" s="353"/>
      <c r="D113" s="354">
        <f>SUM(D109:D112)</f>
        <v>187.41</v>
      </c>
      <c r="E113" s="355"/>
      <c r="F113" s="356">
        <f t="shared" ref="F113:M113" si="50">SUM(F109:F112)</f>
        <v>12.799199999999999</v>
      </c>
      <c r="G113" s="354">
        <f t="shared" si="50"/>
        <v>12.394700000000002</v>
      </c>
      <c r="H113" s="354">
        <f t="shared" si="50"/>
        <v>25.193900000000003</v>
      </c>
      <c r="I113" s="354">
        <f t="shared" si="50"/>
        <v>0</v>
      </c>
      <c r="J113" s="354">
        <f t="shared" si="50"/>
        <v>0</v>
      </c>
      <c r="K113" s="354">
        <f t="shared" si="50"/>
        <v>0</v>
      </c>
      <c r="L113" s="354">
        <f t="shared" si="50"/>
        <v>7</v>
      </c>
      <c r="M113" s="354">
        <f t="shared" si="50"/>
        <v>7</v>
      </c>
      <c r="N113" s="357"/>
      <c r="O113" s="358"/>
      <c r="P113" s="354">
        <f>SUM(P109:P112)</f>
        <v>2709605367</v>
      </c>
      <c r="Q113" s="5"/>
    </row>
    <row r="114" spans="1:19" ht="23.25" customHeight="1" x14ac:dyDescent="0.3">
      <c r="A114" s="5"/>
      <c r="B114" s="152" t="s">
        <v>57</v>
      </c>
      <c r="C114" s="99" t="s">
        <v>30</v>
      </c>
      <c r="D114" s="154">
        <v>54.84</v>
      </c>
      <c r="E114" s="248" t="s">
        <v>671</v>
      </c>
      <c r="F114" s="154">
        <f>4%*D114</f>
        <v>2.1936</v>
      </c>
      <c r="G114" s="155">
        <f>5%*D114</f>
        <v>2.7420000000000004</v>
      </c>
      <c r="H114" s="154">
        <f t="shared" ref="H114:H115" si="51">SUM(F114:G114)</f>
        <v>4.9356000000000009</v>
      </c>
      <c r="I114" s="155">
        <v>0</v>
      </c>
      <c r="J114" s="155"/>
      <c r="K114" s="155"/>
      <c r="L114" s="155">
        <v>2</v>
      </c>
      <c r="M114" s="155">
        <f>SUM(I114:L114)</f>
        <v>2</v>
      </c>
      <c r="N114" s="357"/>
      <c r="O114" s="358"/>
      <c r="P114" s="236">
        <f t="shared" si="48"/>
        <v>599428620</v>
      </c>
      <c r="Q114" s="5"/>
    </row>
    <row r="115" spans="1:19" ht="23.25" customHeight="1" x14ac:dyDescent="0.3">
      <c r="A115" s="5"/>
      <c r="B115" s="152" t="s">
        <v>58</v>
      </c>
      <c r="C115" s="99" t="s">
        <v>33</v>
      </c>
      <c r="D115" s="96">
        <v>14.2</v>
      </c>
      <c r="E115" s="248" t="s">
        <v>671</v>
      </c>
      <c r="F115" s="26">
        <f>8%*D115</f>
        <v>1.1359999999999999</v>
      </c>
      <c r="G115" s="19">
        <f>7%*D115</f>
        <v>0.99399999999999999</v>
      </c>
      <c r="H115" s="26">
        <f t="shared" si="51"/>
        <v>2.13</v>
      </c>
      <c r="I115" s="19">
        <v>0</v>
      </c>
      <c r="J115" s="19"/>
      <c r="K115" s="19"/>
      <c r="L115" s="19">
        <v>1</v>
      </c>
      <c r="M115" s="19">
        <f t="shared" ref="M115" si="52">SUM(I115:L115)</f>
        <v>1</v>
      </c>
      <c r="N115" s="357"/>
      <c r="O115" s="358"/>
      <c r="P115" s="236">
        <f t="shared" si="48"/>
        <v>217298339.99999997</v>
      </c>
      <c r="Q115" s="5"/>
    </row>
    <row r="116" spans="1:19" ht="23.25" customHeight="1" x14ac:dyDescent="0.3">
      <c r="A116" s="5"/>
      <c r="B116" s="352"/>
      <c r="C116" s="353"/>
      <c r="D116" s="354">
        <f>SUM(D114:D115)</f>
        <v>69.040000000000006</v>
      </c>
      <c r="E116" s="355"/>
      <c r="F116" s="354">
        <f t="shared" ref="F116:M116" si="53">SUM(F114:F115)</f>
        <v>3.3296000000000001</v>
      </c>
      <c r="G116" s="354">
        <f t="shared" si="53"/>
        <v>3.7360000000000007</v>
      </c>
      <c r="H116" s="354">
        <f t="shared" si="53"/>
        <v>7.0656000000000008</v>
      </c>
      <c r="I116" s="354">
        <f t="shared" si="53"/>
        <v>0</v>
      </c>
      <c r="J116" s="354">
        <f t="shared" si="53"/>
        <v>0</v>
      </c>
      <c r="K116" s="354">
        <f t="shared" si="53"/>
        <v>0</v>
      </c>
      <c r="L116" s="354">
        <f t="shared" si="53"/>
        <v>3</v>
      </c>
      <c r="M116" s="354">
        <f t="shared" si="53"/>
        <v>3</v>
      </c>
      <c r="N116" s="357"/>
      <c r="O116" s="358"/>
      <c r="P116" s="354">
        <f>SUM(P114:P115)</f>
        <v>816726960</v>
      </c>
      <c r="Q116" s="5"/>
    </row>
    <row r="117" spans="1:19" ht="23.25" customHeight="1" x14ac:dyDescent="0.3">
      <c r="A117" s="322"/>
      <c r="B117" s="359"/>
      <c r="C117" s="360"/>
      <c r="D117" s="361"/>
      <c r="E117" s="362"/>
      <c r="F117" s="363"/>
      <c r="G117" s="361"/>
      <c r="H117" s="361"/>
      <c r="I117" s="361"/>
      <c r="J117" s="361"/>
      <c r="K117" s="361"/>
      <c r="L117" s="361"/>
      <c r="M117" s="361"/>
      <c r="N117" s="364"/>
      <c r="O117" s="365"/>
      <c r="P117" s="366"/>
      <c r="Q117" s="5"/>
    </row>
    <row r="118" spans="1:19" ht="21" customHeight="1" x14ac:dyDescent="0.3">
      <c r="A118" s="63">
        <v>7</v>
      </c>
      <c r="B118" s="8" t="s">
        <v>117</v>
      </c>
      <c r="C118" s="10"/>
      <c r="D118" s="90"/>
      <c r="E118" s="67"/>
      <c r="F118" s="66"/>
      <c r="G118" s="218"/>
      <c r="H118" s="66"/>
      <c r="I118" s="82"/>
      <c r="J118" s="82"/>
      <c r="K118" s="82"/>
      <c r="L118" s="82"/>
      <c r="M118" s="82"/>
      <c r="N118" s="69"/>
      <c r="O118" s="70"/>
      <c r="P118" s="233"/>
      <c r="Q118" s="68"/>
    </row>
    <row r="119" spans="1:19" ht="24.75" customHeight="1" x14ac:dyDescent="0.3">
      <c r="A119" s="16"/>
      <c r="B119" s="14" t="s">
        <v>57</v>
      </c>
      <c r="C119" s="15" t="s">
        <v>22</v>
      </c>
      <c r="D119" s="26">
        <v>398.95</v>
      </c>
      <c r="E119" s="101" t="s">
        <v>203</v>
      </c>
      <c r="F119" s="96">
        <f>3%*D119</f>
        <v>11.968499999999999</v>
      </c>
      <c r="G119" s="223">
        <f>20%*D119</f>
        <v>79.790000000000006</v>
      </c>
      <c r="H119" s="96">
        <f t="shared" ref="H119:H123" si="54">SUM(F119:G119)</f>
        <v>91.758499999999998</v>
      </c>
      <c r="I119" s="97">
        <v>0</v>
      </c>
      <c r="J119" s="97"/>
      <c r="K119" s="97">
        <v>5</v>
      </c>
      <c r="L119" s="97"/>
      <c r="M119" s="97">
        <f t="shared" ref="M119:M123" si="55">SUM(I119:L119)</f>
        <v>5</v>
      </c>
      <c r="N119" s="35"/>
      <c r="O119" s="40" t="s">
        <v>211</v>
      </c>
      <c r="P119" s="238">
        <f t="shared" ref="P119:P123" si="56">G119*0.3*30%*40000000</f>
        <v>287244000</v>
      </c>
      <c r="Q119" s="16"/>
      <c r="S119" s="100" t="s">
        <v>203</v>
      </c>
    </row>
    <row r="120" spans="1:19" ht="32.25" customHeight="1" x14ac:dyDescent="0.3">
      <c r="A120" s="16"/>
      <c r="B120" s="98" t="s">
        <v>58</v>
      </c>
      <c r="C120" s="99" t="s">
        <v>42</v>
      </c>
      <c r="D120" s="26">
        <v>357.5</v>
      </c>
      <c r="E120" s="101" t="s">
        <v>203</v>
      </c>
      <c r="F120" s="96">
        <f>2%*D120</f>
        <v>7.15</v>
      </c>
      <c r="G120" s="97">
        <f>5%*D120</f>
        <v>17.875</v>
      </c>
      <c r="H120" s="96">
        <f t="shared" si="54"/>
        <v>25.024999999999999</v>
      </c>
      <c r="I120" s="97">
        <v>0</v>
      </c>
      <c r="J120" s="97"/>
      <c r="K120" s="97"/>
      <c r="L120" s="97">
        <v>8</v>
      </c>
      <c r="M120" s="97">
        <f t="shared" si="55"/>
        <v>8</v>
      </c>
      <c r="N120" s="35"/>
      <c r="O120" s="40" t="s">
        <v>137</v>
      </c>
      <c r="P120" s="238">
        <f t="shared" si="56"/>
        <v>64349999.999999993</v>
      </c>
      <c r="Q120" s="16"/>
      <c r="S120" s="1" t="s">
        <v>593</v>
      </c>
    </row>
    <row r="121" spans="1:19" ht="27.75" customHeight="1" x14ac:dyDescent="0.3">
      <c r="A121" s="16"/>
      <c r="B121" s="14" t="s">
        <v>59</v>
      </c>
      <c r="C121" s="15" t="s">
        <v>21</v>
      </c>
      <c r="D121" s="18">
        <v>258.95</v>
      </c>
      <c r="E121" s="101" t="s">
        <v>203</v>
      </c>
      <c r="F121" s="225">
        <f>4%*D121</f>
        <v>10.358000000000001</v>
      </c>
      <c r="G121" s="225">
        <f>5%*D121</f>
        <v>12.9475</v>
      </c>
      <c r="H121" s="96">
        <f t="shared" si="54"/>
        <v>23.305500000000002</v>
      </c>
      <c r="I121" s="97">
        <v>0</v>
      </c>
      <c r="J121" s="97"/>
      <c r="K121" s="97"/>
      <c r="L121" s="97"/>
      <c r="M121" s="97">
        <f t="shared" si="55"/>
        <v>0</v>
      </c>
      <c r="N121" s="35"/>
      <c r="O121" s="36"/>
      <c r="P121" s="238">
        <f t="shared" si="56"/>
        <v>46610999.999999993</v>
      </c>
      <c r="Q121" s="16"/>
      <c r="S121" s="1" t="s">
        <v>595</v>
      </c>
    </row>
    <row r="122" spans="1:19" ht="24" customHeight="1" x14ac:dyDescent="0.3">
      <c r="A122" s="16"/>
      <c r="B122" s="14" t="s">
        <v>60</v>
      </c>
      <c r="C122" s="15" t="s">
        <v>43</v>
      </c>
      <c r="D122" s="26">
        <v>473.8</v>
      </c>
      <c r="E122" s="101" t="s">
        <v>221</v>
      </c>
      <c r="F122" s="96">
        <f>5%*D122</f>
        <v>23.69</v>
      </c>
      <c r="G122" s="97">
        <f>10%*D122</f>
        <v>47.38</v>
      </c>
      <c r="H122" s="96">
        <f t="shared" si="54"/>
        <v>71.070000000000007</v>
      </c>
      <c r="I122" s="97">
        <v>0</v>
      </c>
      <c r="J122" s="97"/>
      <c r="K122" s="97"/>
      <c r="L122" s="97">
        <v>6</v>
      </c>
      <c r="M122" s="97">
        <f t="shared" si="55"/>
        <v>6</v>
      </c>
      <c r="N122" s="35"/>
      <c r="O122" s="36"/>
      <c r="P122" s="238">
        <f t="shared" si="56"/>
        <v>170568000</v>
      </c>
      <c r="Q122" s="16"/>
    </row>
    <row r="123" spans="1:19" ht="29.25" customHeight="1" x14ac:dyDescent="0.3">
      <c r="A123" s="16"/>
      <c r="B123" s="14" t="s">
        <v>61</v>
      </c>
      <c r="C123" s="15" t="s">
        <v>44</v>
      </c>
      <c r="D123" s="26">
        <v>159.94999999999999</v>
      </c>
      <c r="E123" s="101" t="s">
        <v>203</v>
      </c>
      <c r="F123" s="26">
        <f>2%*D123</f>
        <v>3.1989999999999998</v>
      </c>
      <c r="G123" s="220">
        <f>5%*D123</f>
        <v>7.9974999999999996</v>
      </c>
      <c r="H123" s="26">
        <f t="shared" si="54"/>
        <v>11.1965</v>
      </c>
      <c r="I123" s="19">
        <v>0</v>
      </c>
      <c r="J123" s="19"/>
      <c r="K123" s="19"/>
      <c r="L123" s="19"/>
      <c r="M123" s="19">
        <f t="shared" si="55"/>
        <v>0</v>
      </c>
      <c r="N123" s="35"/>
      <c r="O123" s="36"/>
      <c r="P123" s="238">
        <f t="shared" si="56"/>
        <v>28790999.999999996</v>
      </c>
      <c r="Q123" s="16"/>
      <c r="S123" s="100" t="s">
        <v>184</v>
      </c>
    </row>
    <row r="124" spans="1:19" ht="29.25" customHeight="1" x14ac:dyDescent="0.3">
      <c r="A124" s="368"/>
      <c r="B124" s="369"/>
      <c r="C124" s="370"/>
      <c r="D124" s="309">
        <f>SUM(D119:D123)</f>
        <v>1649.15</v>
      </c>
      <c r="E124" s="371"/>
      <c r="F124" s="309">
        <f t="shared" ref="F124:M124" si="57">SUM(F119:F123)</f>
        <v>56.365499999999997</v>
      </c>
      <c r="G124" s="309">
        <f t="shared" si="57"/>
        <v>165.99</v>
      </c>
      <c r="H124" s="309">
        <f t="shared" si="57"/>
        <v>222.35550000000001</v>
      </c>
      <c r="I124" s="309">
        <f t="shared" si="57"/>
        <v>0</v>
      </c>
      <c r="J124" s="309">
        <f t="shared" si="57"/>
        <v>0</v>
      </c>
      <c r="K124" s="309">
        <f t="shared" si="57"/>
        <v>5</v>
      </c>
      <c r="L124" s="309">
        <f t="shared" si="57"/>
        <v>14</v>
      </c>
      <c r="M124" s="309">
        <f t="shared" si="57"/>
        <v>19</v>
      </c>
      <c r="N124" s="372"/>
      <c r="O124" s="373"/>
      <c r="P124" s="309">
        <f>SUM(P119:P123)</f>
        <v>597564000</v>
      </c>
      <c r="Q124" s="368"/>
      <c r="S124" s="367"/>
    </row>
    <row r="125" spans="1:19" ht="29.25" customHeight="1" x14ac:dyDescent="0.3">
      <c r="A125" s="5"/>
      <c r="B125" s="14" t="s">
        <v>57</v>
      </c>
      <c r="C125" s="15" t="s">
        <v>22</v>
      </c>
      <c r="D125" s="26">
        <v>398.95</v>
      </c>
      <c r="E125" s="100" t="s">
        <v>184</v>
      </c>
      <c r="F125" s="225">
        <f>4%*D125</f>
        <v>15.958</v>
      </c>
      <c r="G125" s="225">
        <f>5%*D125</f>
        <v>19.947500000000002</v>
      </c>
      <c r="H125" s="96">
        <f t="shared" ref="H125:H126" si="58">SUM(F125:G125)</f>
        <v>35.905500000000004</v>
      </c>
      <c r="I125" s="97">
        <v>0</v>
      </c>
      <c r="J125" s="97"/>
      <c r="K125" s="97"/>
      <c r="L125" s="97">
        <v>5</v>
      </c>
      <c r="M125" s="97">
        <f t="shared" ref="M125:M126" si="59">SUM(I125:L125)</f>
        <v>5</v>
      </c>
      <c r="N125" s="35"/>
      <c r="O125" s="36"/>
      <c r="P125" s="238">
        <f t="shared" ref="P125:P126" si="60">G125*0.3*30%*40000000</f>
        <v>71811000</v>
      </c>
      <c r="Q125" s="5"/>
      <c r="S125" s="367"/>
    </row>
    <row r="126" spans="1:19" ht="29.25" customHeight="1" x14ac:dyDescent="0.3">
      <c r="A126" s="5"/>
      <c r="B126" s="98" t="s">
        <v>58</v>
      </c>
      <c r="C126" s="99" t="s">
        <v>42</v>
      </c>
      <c r="D126" s="96">
        <v>357.5</v>
      </c>
      <c r="E126" s="100" t="s">
        <v>184</v>
      </c>
      <c r="F126" s="96">
        <f>5%*D126</f>
        <v>17.875</v>
      </c>
      <c r="G126" s="97">
        <f>6%*D126</f>
        <v>21.45</v>
      </c>
      <c r="H126" s="96">
        <f t="shared" si="58"/>
        <v>39.325000000000003</v>
      </c>
      <c r="I126" s="97">
        <v>0</v>
      </c>
      <c r="J126" s="97"/>
      <c r="K126" s="97"/>
      <c r="L126" s="97">
        <v>7</v>
      </c>
      <c r="M126" s="97">
        <f t="shared" si="59"/>
        <v>7</v>
      </c>
      <c r="N126" s="35"/>
      <c r="O126" s="36"/>
      <c r="P126" s="238">
        <f t="shared" si="60"/>
        <v>77220000</v>
      </c>
      <c r="Q126" s="5"/>
      <c r="S126" s="367"/>
    </row>
    <row r="127" spans="1:19" ht="29.25" customHeight="1" x14ac:dyDescent="0.3">
      <c r="A127" s="5"/>
      <c r="C127" s="10"/>
      <c r="D127" s="309">
        <f>SUM(D125:D126)</f>
        <v>756.45</v>
      </c>
      <c r="E127" s="336"/>
      <c r="F127" s="309">
        <f t="shared" ref="F127:M127" si="61">SUM(F125:F126)</f>
        <v>33.832999999999998</v>
      </c>
      <c r="G127" s="309">
        <f t="shared" si="61"/>
        <v>41.397500000000001</v>
      </c>
      <c r="H127" s="309">
        <f t="shared" si="61"/>
        <v>75.230500000000006</v>
      </c>
      <c r="I127" s="309">
        <f t="shared" si="61"/>
        <v>0</v>
      </c>
      <c r="J127" s="309">
        <f t="shared" si="61"/>
        <v>0</v>
      </c>
      <c r="K127" s="309">
        <f t="shared" si="61"/>
        <v>0</v>
      </c>
      <c r="L127" s="309">
        <f t="shared" si="61"/>
        <v>12</v>
      </c>
      <c r="M127" s="309">
        <f t="shared" si="61"/>
        <v>12</v>
      </c>
      <c r="N127" s="93"/>
      <c r="O127" s="51"/>
      <c r="P127" s="309">
        <f>SUM(P125:P126)</f>
        <v>149031000</v>
      </c>
      <c r="Q127" s="5"/>
      <c r="S127" s="367"/>
    </row>
    <row r="128" spans="1:19" ht="22.5" customHeight="1" x14ac:dyDescent="0.3">
      <c r="A128" s="108"/>
      <c r="B128" s="116"/>
      <c r="C128" s="116"/>
      <c r="D128" s="109"/>
      <c r="E128" s="110"/>
      <c r="F128" s="109"/>
      <c r="G128" s="111"/>
      <c r="H128" s="109"/>
      <c r="I128" s="111"/>
      <c r="J128" s="111">
        <f>SUM(J110:J123)</f>
        <v>0</v>
      </c>
      <c r="K128" s="111"/>
      <c r="L128" s="111"/>
      <c r="M128" s="111"/>
      <c r="N128" s="115"/>
      <c r="O128" s="113"/>
      <c r="P128" s="374"/>
      <c r="Q128" s="108"/>
    </row>
    <row r="129" spans="1:15" ht="4.5" customHeight="1" x14ac:dyDescent="0.3">
      <c r="F129" s="2">
        <f>SUM(F119:F128)</f>
        <v>180.39699999999999</v>
      </c>
      <c r="G129" s="2"/>
      <c r="H129" s="2"/>
      <c r="I129" s="2"/>
      <c r="J129" s="2"/>
      <c r="K129" s="2"/>
      <c r="L129" s="2"/>
      <c r="M129" s="2"/>
    </row>
    <row r="130" spans="1:15" ht="4.5" customHeight="1" x14ac:dyDescent="0.3">
      <c r="F130" s="2"/>
      <c r="G130" s="2"/>
      <c r="H130" s="2"/>
      <c r="I130" s="2"/>
      <c r="J130" s="2"/>
      <c r="K130" s="2"/>
      <c r="L130" s="2"/>
      <c r="M130" s="2"/>
    </row>
    <row r="131" spans="1:15" ht="4.5" customHeight="1" x14ac:dyDescent="0.3">
      <c r="F131" s="2"/>
      <c r="G131" s="2"/>
      <c r="H131" s="2"/>
      <c r="I131" s="2"/>
      <c r="J131" s="2"/>
      <c r="K131" s="2"/>
      <c r="L131" s="2"/>
      <c r="M131" s="2"/>
    </row>
    <row r="132" spans="1:15" ht="16.5" customHeight="1" x14ac:dyDescent="0.3">
      <c r="F132" s="2"/>
      <c r="G132" s="2"/>
      <c r="H132" s="2"/>
      <c r="I132" s="2"/>
      <c r="J132" s="2" t="s">
        <v>701</v>
      </c>
      <c r="K132" s="2"/>
      <c r="L132" s="2"/>
      <c r="M132" s="2"/>
    </row>
    <row r="133" spans="1:15" ht="12" customHeight="1" x14ac:dyDescent="0.3">
      <c r="A133" s="395" t="s">
        <v>80</v>
      </c>
      <c r="B133" s="395"/>
      <c r="C133" s="395"/>
      <c r="D133" s="395"/>
    </row>
    <row r="134" spans="1:15" x14ac:dyDescent="0.3">
      <c r="A134" s="395" t="s">
        <v>81</v>
      </c>
      <c r="B134" s="395"/>
      <c r="C134" s="395"/>
      <c r="D134" s="395"/>
      <c r="J134" s="1" t="s">
        <v>85</v>
      </c>
    </row>
    <row r="135" spans="1:15" x14ac:dyDescent="0.3">
      <c r="A135" s="395" t="s">
        <v>82</v>
      </c>
      <c r="B135" s="395"/>
      <c r="C135" s="395"/>
      <c r="D135" s="395"/>
      <c r="J135" s="3" t="s">
        <v>86</v>
      </c>
      <c r="K135" s="1" t="s">
        <v>175</v>
      </c>
      <c r="O135" s="1" t="s">
        <v>90</v>
      </c>
    </row>
    <row r="136" spans="1:15" x14ac:dyDescent="0.3">
      <c r="A136" s="395" t="s">
        <v>83</v>
      </c>
      <c r="B136" s="395"/>
      <c r="C136" s="395"/>
      <c r="D136" s="395"/>
      <c r="K136" s="1" t="s">
        <v>651</v>
      </c>
    </row>
    <row r="137" spans="1:15" ht="9.75" customHeight="1" x14ac:dyDescent="0.3"/>
    <row r="138" spans="1:15" ht="14.25" customHeight="1" x14ac:dyDescent="0.3">
      <c r="J138" s="3" t="s">
        <v>88</v>
      </c>
      <c r="K138" s="1" t="s">
        <v>87</v>
      </c>
      <c r="O138" s="1" t="s">
        <v>90</v>
      </c>
    </row>
    <row r="139" spans="1:15" x14ac:dyDescent="0.3">
      <c r="K139" s="1" t="s">
        <v>91</v>
      </c>
    </row>
    <row r="140" spans="1:15" ht="13.5" customHeight="1" x14ac:dyDescent="0.3">
      <c r="A140" s="398" t="s">
        <v>175</v>
      </c>
      <c r="B140" s="398"/>
      <c r="C140" s="398"/>
      <c r="D140" s="398"/>
    </row>
    <row r="141" spans="1:15" x14ac:dyDescent="0.3">
      <c r="A141" s="395" t="s">
        <v>190</v>
      </c>
      <c r="B141" s="395"/>
      <c r="C141" s="395"/>
      <c r="D141" s="395"/>
      <c r="J141" s="1" t="s">
        <v>254</v>
      </c>
      <c r="K141" s="1" t="s">
        <v>89</v>
      </c>
      <c r="O141" s="1" t="s">
        <v>90</v>
      </c>
    </row>
    <row r="142" spans="1:15" x14ac:dyDescent="0.3">
      <c r="K142" s="1" t="s">
        <v>92</v>
      </c>
    </row>
    <row r="143" spans="1:15" ht="8.25" customHeight="1" x14ac:dyDescent="0.3"/>
    <row r="144" spans="1:15" x14ac:dyDescent="0.3">
      <c r="J144" s="241" t="s">
        <v>265</v>
      </c>
      <c r="K144" s="1" t="s">
        <v>652</v>
      </c>
      <c r="O144" s="1" t="s">
        <v>90</v>
      </c>
    </row>
    <row r="145" spans="10:15" ht="14.25" customHeight="1" x14ac:dyDescent="0.3">
      <c r="J145" s="241"/>
      <c r="K145" s="1" t="s">
        <v>658</v>
      </c>
    </row>
    <row r="146" spans="10:15" ht="5.25" customHeight="1" x14ac:dyDescent="0.3">
      <c r="J146" s="241"/>
    </row>
    <row r="147" spans="10:15" x14ac:dyDescent="0.3">
      <c r="J147" s="241" t="s">
        <v>650</v>
      </c>
      <c r="K147" s="1" t="s">
        <v>255</v>
      </c>
      <c r="O147" s="1" t="s">
        <v>90</v>
      </c>
    </row>
    <row r="148" spans="10:15" x14ac:dyDescent="0.3">
      <c r="K148" s="1" t="s">
        <v>654</v>
      </c>
    </row>
  </sheetData>
  <mergeCells count="22">
    <mergeCell ref="Q6:Q7"/>
    <mergeCell ref="B7:C7"/>
    <mergeCell ref="O32:O37"/>
    <mergeCell ref="O47:O50"/>
    <mergeCell ref="A1:Q1"/>
    <mergeCell ref="A2:Q2"/>
    <mergeCell ref="A6:A7"/>
    <mergeCell ref="B6:C6"/>
    <mergeCell ref="D6:D7"/>
    <mergeCell ref="E6:E7"/>
    <mergeCell ref="F6:H6"/>
    <mergeCell ref="I6:M6"/>
    <mergeCell ref="N6:O7"/>
    <mergeCell ref="P6:P7"/>
    <mergeCell ref="A140:D140"/>
    <mergeCell ref="A141:D141"/>
    <mergeCell ref="O52:O62"/>
    <mergeCell ref="O64:O69"/>
    <mergeCell ref="A133:D133"/>
    <mergeCell ref="A134:D134"/>
    <mergeCell ref="A135:D135"/>
    <mergeCell ref="A136:D136"/>
  </mergeCells>
  <pageMargins left="0.36" right="0.70866141732283472" top="0.47" bottom="0.74803149606299213" header="0.31496062992125984" footer="0.31496062992125984"/>
  <pageSetup paperSize="5" scale="90" orientation="landscape" horizontalDpi="4294967293"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V157"/>
  <sheetViews>
    <sheetView view="pageBreakPreview" topLeftCell="A136" zoomScale="96" zoomScaleNormal="100" zoomScaleSheetLayoutView="96" workbookViewId="0">
      <selection activeCell="E144" sqref="E144"/>
    </sheetView>
  </sheetViews>
  <sheetFormatPr defaultColWidth="9.1796875" defaultRowHeight="14" x14ac:dyDescent="0.3"/>
  <cols>
    <col min="1" max="1" width="4.81640625" style="1" customWidth="1"/>
    <col min="2" max="2" width="2.1796875" style="1" customWidth="1"/>
    <col min="3" max="3" width="17.54296875" style="1" customWidth="1"/>
    <col min="4" max="4" width="12" style="1" customWidth="1"/>
    <col min="5" max="5" width="31.453125" style="1" customWidth="1"/>
    <col min="6" max="6" width="11" style="1" bestFit="1" customWidth="1"/>
    <col min="7" max="7" width="8.81640625" style="1" customWidth="1"/>
    <col min="8" max="8" width="9" style="1" customWidth="1"/>
    <col min="9" max="9" width="6.7265625" style="1" customWidth="1"/>
    <col min="10" max="10" width="7" style="1" customWidth="1"/>
    <col min="11" max="12" width="7.54296875" style="1" customWidth="1"/>
    <col min="13" max="13" width="6.81640625" style="1" bestFit="1" customWidth="1"/>
    <col min="14" max="14" width="2" style="1" customWidth="1"/>
    <col min="15" max="15" width="17" style="1" customWidth="1"/>
    <col min="16" max="16" width="15" style="1" customWidth="1"/>
    <col min="17" max="17" width="8.81640625" style="1" customWidth="1"/>
    <col min="18" max="19" width="9.1796875" style="1"/>
    <col min="20" max="20" width="10.7265625" style="1" customWidth="1"/>
    <col min="21" max="16384" width="9.1796875" style="1"/>
  </cols>
  <sheetData>
    <row r="1" spans="1:20" x14ac:dyDescent="0.3">
      <c r="A1" s="385" t="s">
        <v>260</v>
      </c>
      <c r="B1" s="385"/>
      <c r="C1" s="385"/>
      <c r="D1" s="385"/>
      <c r="E1" s="385"/>
      <c r="F1" s="385"/>
      <c r="G1" s="385"/>
      <c r="H1" s="385"/>
      <c r="I1" s="385"/>
      <c r="J1" s="385"/>
      <c r="K1" s="385"/>
      <c r="L1" s="385"/>
      <c r="M1" s="385"/>
      <c r="N1" s="385"/>
      <c r="O1" s="385"/>
      <c r="P1" s="385"/>
      <c r="Q1" s="385"/>
    </row>
    <row r="2" spans="1:20" ht="14.25" customHeight="1" x14ac:dyDescent="0.3">
      <c r="A2" s="385" t="s">
        <v>646</v>
      </c>
      <c r="B2" s="385"/>
      <c r="C2" s="385"/>
      <c r="D2" s="385"/>
      <c r="E2" s="385"/>
      <c r="F2" s="385"/>
      <c r="G2" s="385"/>
      <c r="H2" s="385"/>
      <c r="I2" s="385"/>
      <c r="J2" s="385"/>
      <c r="K2" s="385"/>
      <c r="L2" s="385"/>
      <c r="M2" s="385"/>
      <c r="N2" s="385"/>
      <c r="O2" s="385"/>
      <c r="P2" s="385"/>
      <c r="Q2" s="385"/>
    </row>
    <row r="3" spans="1:20" ht="14.25" customHeight="1" x14ac:dyDescent="0.3">
      <c r="A3" s="1" t="s">
        <v>1</v>
      </c>
      <c r="C3" s="1" t="s">
        <v>603</v>
      </c>
    </row>
    <row r="4" spans="1:20" ht="14.25" customHeight="1" x14ac:dyDescent="0.3">
      <c r="A4" s="1" t="s">
        <v>2</v>
      </c>
      <c r="C4" s="1" t="s">
        <v>698</v>
      </c>
      <c r="D4" s="4"/>
    </row>
    <row r="5" spans="1:20" ht="6" customHeight="1" x14ac:dyDescent="0.3"/>
    <row r="6" spans="1:20" ht="19.5" customHeight="1" x14ac:dyDescent="0.3">
      <c r="A6" s="386" t="s">
        <v>3</v>
      </c>
      <c r="B6" s="388" t="s">
        <v>4</v>
      </c>
      <c r="C6" s="388"/>
      <c r="D6" s="391" t="s">
        <v>259</v>
      </c>
      <c r="E6" s="391" t="s">
        <v>7</v>
      </c>
      <c r="F6" s="393" t="s">
        <v>170</v>
      </c>
      <c r="G6" s="393"/>
      <c r="H6" s="393"/>
      <c r="I6" s="393" t="s">
        <v>12</v>
      </c>
      <c r="J6" s="393"/>
      <c r="K6" s="393"/>
      <c r="L6" s="393"/>
      <c r="M6" s="393"/>
      <c r="N6" s="391" t="s">
        <v>17</v>
      </c>
      <c r="O6" s="391"/>
      <c r="P6" s="391" t="s">
        <v>258</v>
      </c>
      <c r="Q6" s="386" t="s">
        <v>192</v>
      </c>
    </row>
    <row r="7" spans="1:20" ht="24.75" customHeight="1" x14ac:dyDescent="0.3">
      <c r="A7" s="387"/>
      <c r="B7" s="394" t="s">
        <v>5</v>
      </c>
      <c r="C7" s="394"/>
      <c r="D7" s="392"/>
      <c r="E7" s="392"/>
      <c r="F7" s="147" t="s">
        <v>9</v>
      </c>
      <c r="G7" s="147" t="s">
        <v>10</v>
      </c>
      <c r="H7" s="147" t="s">
        <v>11</v>
      </c>
      <c r="I7" s="147" t="s">
        <v>16</v>
      </c>
      <c r="J7" s="147" t="s">
        <v>13</v>
      </c>
      <c r="K7" s="147" t="s">
        <v>14</v>
      </c>
      <c r="L7" s="148" t="s">
        <v>257</v>
      </c>
      <c r="M7" s="147" t="s">
        <v>11</v>
      </c>
      <c r="N7" s="392"/>
      <c r="O7" s="392"/>
      <c r="P7" s="392"/>
      <c r="Q7" s="387"/>
    </row>
    <row r="8" spans="1:20" ht="6" customHeight="1" x14ac:dyDescent="0.3">
      <c r="A8" s="5"/>
      <c r="B8" s="8"/>
      <c r="C8" s="10"/>
      <c r="D8" s="5"/>
      <c r="E8" s="5"/>
      <c r="F8" s="5"/>
      <c r="G8" s="5"/>
      <c r="H8" s="5"/>
      <c r="I8" s="5"/>
      <c r="J8" s="5"/>
      <c r="K8" s="5"/>
      <c r="L8" s="5"/>
      <c r="M8" s="5"/>
      <c r="N8" s="8"/>
      <c r="O8" s="10"/>
      <c r="P8" s="10"/>
      <c r="Q8" s="5"/>
    </row>
    <row r="9" spans="1:20" ht="18" customHeight="1" x14ac:dyDescent="0.3">
      <c r="A9" s="13">
        <v>1</v>
      </c>
      <c r="B9" s="14" t="s">
        <v>20</v>
      </c>
      <c r="C9" s="15"/>
      <c r="D9" s="16"/>
      <c r="E9" s="47"/>
      <c r="F9" s="16"/>
      <c r="G9" s="16"/>
      <c r="H9" s="16"/>
      <c r="I9" s="16"/>
      <c r="J9" s="16"/>
      <c r="K9" s="16"/>
      <c r="L9" s="16"/>
      <c r="M9" s="16"/>
      <c r="N9" s="35"/>
      <c r="O9" s="36"/>
      <c r="P9" s="226"/>
      <c r="Q9" s="16"/>
    </row>
    <row r="10" spans="1:20" ht="36.75" customHeight="1" x14ac:dyDescent="0.3">
      <c r="A10" s="13"/>
      <c r="B10" s="299" t="s">
        <v>57</v>
      </c>
      <c r="C10" s="99" t="s">
        <v>21</v>
      </c>
      <c r="D10" s="255">
        <v>450.06</v>
      </c>
      <c r="E10" s="49" t="s">
        <v>649</v>
      </c>
      <c r="F10" s="96">
        <f>1%*D10</f>
        <v>4.5006000000000004</v>
      </c>
      <c r="G10" s="96">
        <f>0.9%*D10</f>
        <v>4.0505400000000007</v>
      </c>
      <c r="H10" s="96">
        <f>SUM(F10:G10)</f>
        <v>8.5511400000000002</v>
      </c>
      <c r="I10" s="97">
        <v>0</v>
      </c>
      <c r="J10" s="97"/>
      <c r="K10" s="97"/>
      <c r="L10" s="97">
        <v>3</v>
      </c>
      <c r="M10" s="121">
        <f>SUM(I10:L10)</f>
        <v>3</v>
      </c>
      <c r="N10" s="37"/>
      <c r="O10" s="36"/>
      <c r="P10" s="227">
        <f t="shared" ref="P10:P29" si="0">G10*0.261*12%*0</f>
        <v>0</v>
      </c>
      <c r="Q10" s="16"/>
      <c r="S10" s="1" t="s">
        <v>333</v>
      </c>
      <c r="T10" s="1" t="s">
        <v>341</v>
      </c>
    </row>
    <row r="11" spans="1:20" ht="34.5" customHeight="1" x14ac:dyDescent="0.3">
      <c r="A11" s="13"/>
      <c r="B11" s="299" t="s">
        <v>58</v>
      </c>
      <c r="C11" s="99" t="s">
        <v>22</v>
      </c>
      <c r="D11" s="255">
        <v>912.82</v>
      </c>
      <c r="E11" s="49" t="s">
        <v>649</v>
      </c>
      <c r="F11" s="96">
        <f>1%*D10</f>
        <v>4.5006000000000004</v>
      </c>
      <c r="G11" s="96">
        <f>5%*D10</f>
        <v>22.503</v>
      </c>
      <c r="H11" s="96">
        <f>SUM(F11:G11)</f>
        <v>27.003599999999999</v>
      </c>
      <c r="I11" s="97">
        <v>0</v>
      </c>
      <c r="J11" s="97"/>
      <c r="K11" s="97"/>
      <c r="L11" s="97">
        <v>3</v>
      </c>
      <c r="M11" s="121">
        <f t="shared" ref="M11:M23" si="1">SUM(I11:L11)</f>
        <v>3</v>
      </c>
      <c r="N11" s="256" t="s">
        <v>51</v>
      </c>
      <c r="O11" s="38" t="s">
        <v>50</v>
      </c>
      <c r="P11" s="227">
        <f t="shared" si="0"/>
        <v>0</v>
      </c>
      <c r="Q11" s="16"/>
    </row>
    <row r="12" spans="1:20" ht="28.5" customHeight="1" x14ac:dyDescent="0.3">
      <c r="A12" s="13"/>
      <c r="B12" s="122" t="s">
        <v>59</v>
      </c>
      <c r="C12" s="123" t="s">
        <v>27</v>
      </c>
      <c r="D12" s="255">
        <v>163.44999999999999</v>
      </c>
      <c r="E12" s="49" t="s">
        <v>649</v>
      </c>
      <c r="F12" s="96">
        <f>1%*D10</f>
        <v>4.5006000000000004</v>
      </c>
      <c r="G12" s="96">
        <f>0.5%*D10</f>
        <v>2.2503000000000002</v>
      </c>
      <c r="H12" s="96">
        <f>SUM(F12:G12)</f>
        <v>6.7509000000000006</v>
      </c>
      <c r="I12" s="97">
        <v>0</v>
      </c>
      <c r="J12" s="97"/>
      <c r="K12" s="97"/>
      <c r="L12" s="97">
        <v>4</v>
      </c>
      <c r="M12" s="121">
        <f t="shared" si="1"/>
        <v>4</v>
      </c>
      <c r="N12" s="37" t="s">
        <v>51</v>
      </c>
      <c r="O12" s="36" t="s">
        <v>678</v>
      </c>
      <c r="P12" s="227">
        <f t="shared" si="0"/>
        <v>0</v>
      </c>
      <c r="Q12" s="16"/>
      <c r="S12" s="1" t="s">
        <v>343</v>
      </c>
    </row>
    <row r="13" spans="1:20" ht="31.5" customHeight="1" x14ac:dyDescent="0.3">
      <c r="A13" s="102"/>
      <c r="B13" s="299" t="s">
        <v>60</v>
      </c>
      <c r="C13" s="99" t="s">
        <v>42</v>
      </c>
      <c r="D13" s="255">
        <v>564.78</v>
      </c>
      <c r="E13" s="49" t="s">
        <v>649</v>
      </c>
      <c r="F13" s="96">
        <f>10%*D10</f>
        <v>45.006</v>
      </c>
      <c r="G13" s="96">
        <f>3%*D10</f>
        <v>13.501799999999999</v>
      </c>
      <c r="H13" s="96">
        <f>SUM(F13:G13)</f>
        <v>58.507800000000003</v>
      </c>
      <c r="I13" s="97">
        <v>0</v>
      </c>
      <c r="J13" s="97">
        <v>0</v>
      </c>
      <c r="K13" s="97">
        <v>0</v>
      </c>
      <c r="L13" s="97">
        <v>4</v>
      </c>
      <c r="M13" s="121">
        <f t="shared" si="1"/>
        <v>4</v>
      </c>
      <c r="N13" s="256" t="s">
        <v>51</v>
      </c>
      <c r="O13" s="169" t="s">
        <v>48</v>
      </c>
      <c r="P13" s="228">
        <f t="shared" si="0"/>
        <v>0</v>
      </c>
      <c r="Q13" s="257"/>
      <c r="S13" s="1" t="s">
        <v>342</v>
      </c>
    </row>
    <row r="14" spans="1:20" ht="31.5" customHeight="1" x14ac:dyDescent="0.3">
      <c r="A14" s="286"/>
      <c r="B14" s="295"/>
      <c r="C14" s="296"/>
      <c r="D14" s="297">
        <f>SUM(D10:D13)</f>
        <v>2091.11</v>
      </c>
      <c r="E14" s="288"/>
      <c r="F14" s="297">
        <f t="shared" ref="F14:M14" si="2">SUM(F10:F13)</f>
        <v>58.507800000000003</v>
      </c>
      <c r="G14" s="297">
        <f t="shared" si="2"/>
        <v>42.305639999999997</v>
      </c>
      <c r="H14" s="297">
        <f t="shared" si="2"/>
        <v>100.81344</v>
      </c>
      <c r="I14" s="297">
        <f t="shared" si="2"/>
        <v>0</v>
      </c>
      <c r="J14" s="297">
        <f t="shared" si="2"/>
        <v>0</v>
      </c>
      <c r="K14" s="297">
        <f t="shared" si="2"/>
        <v>0</v>
      </c>
      <c r="L14" s="297">
        <f t="shared" si="2"/>
        <v>14</v>
      </c>
      <c r="M14" s="297">
        <f t="shared" si="2"/>
        <v>14</v>
      </c>
      <c r="N14" s="290"/>
      <c r="O14" s="291"/>
      <c r="P14" s="292"/>
      <c r="Q14" s="293"/>
    </row>
    <row r="15" spans="1:20" ht="24.75" customHeight="1" x14ac:dyDescent="0.3">
      <c r="A15" s="13"/>
      <c r="B15" s="299" t="s">
        <v>57</v>
      </c>
      <c r="C15" s="99" t="s">
        <v>21</v>
      </c>
      <c r="D15" s="255">
        <v>450.06</v>
      </c>
      <c r="E15" s="47" t="s">
        <v>37</v>
      </c>
      <c r="F15" s="26">
        <f>2%*D15</f>
        <v>9.0012000000000008</v>
      </c>
      <c r="G15" s="26">
        <f>0.5%*D15</f>
        <v>2.2503000000000002</v>
      </c>
      <c r="H15" s="26">
        <f>SUM(F15:G15)</f>
        <v>11.2515</v>
      </c>
      <c r="I15" s="19">
        <v>0</v>
      </c>
      <c r="J15" s="19"/>
      <c r="K15" s="19"/>
      <c r="L15" s="19">
        <v>5</v>
      </c>
      <c r="M15" s="20">
        <f t="shared" si="1"/>
        <v>5</v>
      </c>
      <c r="N15" s="35" t="s">
        <v>51</v>
      </c>
      <c r="O15" s="41" t="s">
        <v>137</v>
      </c>
      <c r="P15" s="227">
        <f t="shared" si="0"/>
        <v>0</v>
      </c>
      <c r="Q15" s="16"/>
    </row>
    <row r="16" spans="1:20" ht="18.75" customHeight="1" x14ac:dyDescent="0.3">
      <c r="A16" s="13"/>
      <c r="B16" s="299" t="s">
        <v>58</v>
      </c>
      <c r="C16" s="99" t="s">
        <v>22</v>
      </c>
      <c r="D16" s="255">
        <v>912.82</v>
      </c>
      <c r="E16" s="47" t="s">
        <v>37</v>
      </c>
      <c r="F16" s="26">
        <f>2%*D15</f>
        <v>9.0012000000000008</v>
      </c>
      <c r="G16" s="26">
        <f>5%*D15</f>
        <v>22.503</v>
      </c>
      <c r="H16" s="26">
        <f t="shared" ref="H16:H18" si="3">SUM(F16:G16)</f>
        <v>31.504200000000001</v>
      </c>
      <c r="I16" s="19">
        <v>0</v>
      </c>
      <c r="J16" s="19"/>
      <c r="K16" s="19"/>
      <c r="L16" s="19">
        <v>4</v>
      </c>
      <c r="M16" s="20">
        <f t="shared" si="1"/>
        <v>4</v>
      </c>
      <c r="N16" s="35"/>
      <c r="O16" s="36"/>
      <c r="P16" s="227">
        <f t="shared" si="0"/>
        <v>0</v>
      </c>
      <c r="Q16" s="16"/>
      <c r="S16" s="1" t="s">
        <v>344</v>
      </c>
    </row>
    <row r="17" spans="1:20" ht="18.75" customHeight="1" x14ac:dyDescent="0.3">
      <c r="A17" s="13"/>
      <c r="B17" s="122" t="s">
        <v>59</v>
      </c>
      <c r="C17" s="123" t="s">
        <v>27</v>
      </c>
      <c r="D17" s="255">
        <v>163.44999999999999</v>
      </c>
      <c r="E17" s="47" t="s">
        <v>37</v>
      </c>
      <c r="F17" s="26">
        <f>3%*D15</f>
        <v>13.501799999999999</v>
      </c>
      <c r="G17" s="26">
        <f>1%*D15</f>
        <v>4.5006000000000004</v>
      </c>
      <c r="H17" s="26">
        <f t="shared" si="3"/>
        <v>18.002400000000002</v>
      </c>
      <c r="I17" s="19">
        <v>0</v>
      </c>
      <c r="J17" s="19"/>
      <c r="K17" s="19"/>
      <c r="L17" s="19">
        <v>4</v>
      </c>
      <c r="M17" s="20">
        <f t="shared" si="1"/>
        <v>4</v>
      </c>
      <c r="N17" s="35"/>
      <c r="O17" s="36"/>
      <c r="P17" s="227">
        <f t="shared" si="0"/>
        <v>0</v>
      </c>
      <c r="Q17" s="16"/>
      <c r="S17" s="1" t="s">
        <v>345</v>
      </c>
    </row>
    <row r="18" spans="1:20" ht="17.25" customHeight="1" x14ac:dyDescent="0.3">
      <c r="A18" s="54"/>
      <c r="B18" s="299" t="s">
        <v>60</v>
      </c>
      <c r="C18" s="99" t="s">
        <v>42</v>
      </c>
      <c r="D18" s="255">
        <v>564.78</v>
      </c>
      <c r="E18" s="47" t="s">
        <v>37</v>
      </c>
      <c r="F18" s="119">
        <f>3%*D15</f>
        <v>13.501799999999999</v>
      </c>
      <c r="G18" s="119">
        <f>3%*D15</f>
        <v>13.501799999999999</v>
      </c>
      <c r="H18" s="119">
        <f t="shared" si="3"/>
        <v>27.003599999999999</v>
      </c>
      <c r="I18" s="59">
        <v>0</v>
      </c>
      <c r="J18" s="59">
        <v>0</v>
      </c>
      <c r="K18" s="59">
        <v>0</v>
      </c>
      <c r="L18" s="59">
        <v>5</v>
      </c>
      <c r="M18" s="60">
        <f t="shared" si="1"/>
        <v>5</v>
      </c>
      <c r="N18" s="42"/>
      <c r="O18" s="38"/>
      <c r="P18" s="227">
        <f t="shared" si="0"/>
        <v>0</v>
      </c>
      <c r="Q18" s="29"/>
    </row>
    <row r="19" spans="1:20" ht="17.25" customHeight="1" x14ac:dyDescent="0.3">
      <c r="A19" s="54"/>
      <c r="B19" s="298"/>
      <c r="C19" s="123"/>
      <c r="D19" s="297">
        <f>SUM(D15:D18)</f>
        <v>2091.11</v>
      </c>
      <c r="E19" s="58"/>
      <c r="F19" s="297">
        <f t="shared" ref="F19:M19" si="4">SUM(F15:F18)</f>
        <v>45.006</v>
      </c>
      <c r="G19" s="297">
        <f t="shared" si="4"/>
        <v>42.755700000000004</v>
      </c>
      <c r="H19" s="297">
        <f t="shared" si="4"/>
        <v>87.761700000000005</v>
      </c>
      <c r="I19" s="297">
        <f t="shared" si="4"/>
        <v>0</v>
      </c>
      <c r="J19" s="297">
        <f t="shared" si="4"/>
        <v>0</v>
      </c>
      <c r="K19" s="297">
        <f t="shared" si="4"/>
        <v>0</v>
      </c>
      <c r="L19" s="297">
        <f t="shared" si="4"/>
        <v>18</v>
      </c>
      <c r="M19" s="297">
        <f t="shared" si="4"/>
        <v>18</v>
      </c>
      <c r="N19" s="42"/>
      <c r="O19" s="38"/>
      <c r="P19" s="227"/>
      <c r="Q19" s="29"/>
    </row>
    <row r="20" spans="1:20" ht="21" customHeight="1" x14ac:dyDescent="0.3">
      <c r="A20" s="54"/>
      <c r="B20" s="299" t="s">
        <v>57</v>
      </c>
      <c r="C20" s="99" t="s">
        <v>21</v>
      </c>
      <c r="D20" s="255">
        <v>450.06</v>
      </c>
      <c r="E20" s="47" t="s">
        <v>38</v>
      </c>
      <c r="F20" s="26">
        <f>14%*D20</f>
        <v>63.008400000000009</v>
      </c>
      <c r="G20" s="26">
        <f>9%*F20</f>
        <v>5.6707560000000008</v>
      </c>
      <c r="H20" s="26">
        <f>SUM(F20:G20)</f>
        <v>68.679156000000006</v>
      </c>
      <c r="I20" s="19">
        <v>0</v>
      </c>
      <c r="J20" s="19"/>
      <c r="K20" s="19"/>
      <c r="L20" s="19">
        <v>6</v>
      </c>
      <c r="M20" s="20">
        <f t="shared" si="1"/>
        <v>6</v>
      </c>
      <c r="N20" s="42"/>
      <c r="O20" s="38"/>
      <c r="P20" s="227">
        <f t="shared" si="0"/>
        <v>0</v>
      </c>
      <c r="Q20" s="29"/>
    </row>
    <row r="21" spans="1:20" ht="18.75" customHeight="1" x14ac:dyDescent="0.3">
      <c r="A21" s="54"/>
      <c r="B21" s="299" t="s">
        <v>58</v>
      </c>
      <c r="C21" s="99" t="s">
        <v>22</v>
      </c>
      <c r="D21" s="255">
        <v>912.82</v>
      </c>
      <c r="E21" s="47" t="s">
        <v>38</v>
      </c>
      <c r="F21" s="26">
        <f>3%*D20</f>
        <v>13.501799999999999</v>
      </c>
      <c r="G21" s="26">
        <f>2%*D20</f>
        <v>9.0012000000000008</v>
      </c>
      <c r="H21" s="26">
        <f t="shared" ref="H21:H22" si="5">SUM(F21:G21)</f>
        <v>22.503</v>
      </c>
      <c r="I21" s="19">
        <v>0</v>
      </c>
      <c r="J21" s="19"/>
      <c r="K21" s="19"/>
      <c r="L21" s="19">
        <v>6</v>
      </c>
      <c r="M21" s="20">
        <f t="shared" si="1"/>
        <v>6</v>
      </c>
      <c r="N21" s="42"/>
      <c r="O21" s="38"/>
      <c r="P21" s="227">
        <f t="shared" si="0"/>
        <v>0</v>
      </c>
      <c r="Q21" s="29"/>
    </row>
    <row r="22" spans="1:20" ht="21.75" customHeight="1" x14ac:dyDescent="0.3">
      <c r="A22" s="54"/>
      <c r="B22" s="122" t="s">
        <v>59</v>
      </c>
      <c r="C22" s="123" t="s">
        <v>27</v>
      </c>
      <c r="D22" s="255">
        <v>163.44999999999999</v>
      </c>
      <c r="E22" s="47" t="s">
        <v>38</v>
      </c>
      <c r="F22" s="26">
        <f>2%*D20</f>
        <v>9.0012000000000008</v>
      </c>
      <c r="G22" s="26">
        <f>2%*D20</f>
        <v>9.0012000000000008</v>
      </c>
      <c r="H22" s="26">
        <f t="shared" si="5"/>
        <v>18.002400000000002</v>
      </c>
      <c r="I22" s="19">
        <v>0</v>
      </c>
      <c r="J22" s="19"/>
      <c r="K22" s="19"/>
      <c r="L22" s="19">
        <v>4</v>
      </c>
      <c r="M22" s="20">
        <f t="shared" si="1"/>
        <v>4</v>
      </c>
      <c r="N22" s="42"/>
      <c r="O22" s="38"/>
      <c r="P22" s="227">
        <f t="shared" si="0"/>
        <v>0</v>
      </c>
      <c r="Q22" s="29"/>
    </row>
    <row r="23" spans="1:20" ht="20.25" customHeight="1" x14ac:dyDescent="0.3">
      <c r="A23" s="13"/>
      <c r="B23" s="299" t="s">
        <v>60</v>
      </c>
      <c r="C23" s="99" t="s">
        <v>42</v>
      </c>
      <c r="D23" s="255">
        <v>564.78</v>
      </c>
      <c r="E23" s="47" t="s">
        <v>38</v>
      </c>
      <c r="F23" s="26">
        <f>26%*D20</f>
        <v>117.01560000000001</v>
      </c>
      <c r="G23" s="26">
        <f>4%*D23</f>
        <v>22.591200000000001</v>
      </c>
      <c r="H23" s="26">
        <f>SUM(F23:G23)</f>
        <v>139.60680000000002</v>
      </c>
      <c r="I23" s="19">
        <v>0</v>
      </c>
      <c r="J23" s="19"/>
      <c r="K23" s="19">
        <v>4</v>
      </c>
      <c r="L23" s="19">
        <v>6</v>
      </c>
      <c r="M23" s="20">
        <f t="shared" si="1"/>
        <v>10</v>
      </c>
      <c r="N23" s="35"/>
      <c r="O23" s="36"/>
      <c r="P23" s="227">
        <f t="shared" si="0"/>
        <v>0</v>
      </c>
      <c r="Q23" s="29"/>
    </row>
    <row r="24" spans="1:20" ht="24.75" customHeight="1" x14ac:dyDescent="0.3">
      <c r="A24" s="13"/>
      <c r="B24" s="298"/>
      <c r="C24" s="123"/>
      <c r="D24" s="297">
        <f>SUM(D20:D23)</f>
        <v>2091.11</v>
      </c>
      <c r="E24" s="47"/>
      <c r="F24" s="297">
        <f t="shared" ref="F24:M24" si="6">SUM(F20:F23)</f>
        <v>202.52700000000002</v>
      </c>
      <c r="G24" s="297">
        <f t="shared" si="6"/>
        <v>46.264356000000006</v>
      </c>
      <c r="H24" s="297">
        <f t="shared" si="6"/>
        <v>248.79135600000004</v>
      </c>
      <c r="I24" s="297">
        <f t="shared" si="6"/>
        <v>0</v>
      </c>
      <c r="J24" s="297">
        <f t="shared" si="6"/>
        <v>0</v>
      </c>
      <c r="K24" s="297">
        <f t="shared" si="6"/>
        <v>4</v>
      </c>
      <c r="L24" s="297">
        <f t="shared" si="6"/>
        <v>22</v>
      </c>
      <c r="M24" s="297">
        <f t="shared" si="6"/>
        <v>26</v>
      </c>
      <c r="N24" s="35"/>
      <c r="O24" s="36"/>
      <c r="P24" s="227">
        <f t="shared" si="0"/>
        <v>0</v>
      </c>
      <c r="Q24" s="29"/>
    </row>
    <row r="25" spans="1:20" ht="22.5" customHeight="1" x14ac:dyDescent="0.3">
      <c r="A25" s="13"/>
      <c r="B25" s="299" t="s">
        <v>57</v>
      </c>
      <c r="C25" s="99" t="s">
        <v>21</v>
      </c>
      <c r="D25" s="255">
        <v>450.06</v>
      </c>
      <c r="E25" s="101" t="s">
        <v>39</v>
      </c>
      <c r="F25" s="26">
        <f>14%*D25</f>
        <v>63.008400000000009</v>
      </c>
      <c r="G25" s="26">
        <f>15%*F25</f>
        <v>9.4512600000000013</v>
      </c>
      <c r="H25" s="26">
        <f>SUM(F25:G25)</f>
        <v>72.459660000000014</v>
      </c>
      <c r="I25" s="19">
        <v>0</v>
      </c>
      <c r="J25" s="19"/>
      <c r="K25" s="19"/>
      <c r="L25" s="19">
        <v>6</v>
      </c>
      <c r="M25" s="20">
        <f t="shared" ref="M25:M28" si="7">SUM(I25:L25)</f>
        <v>6</v>
      </c>
      <c r="N25" s="42"/>
      <c r="O25" s="38"/>
      <c r="P25" s="227">
        <f t="shared" si="0"/>
        <v>0</v>
      </c>
      <c r="Q25" s="29"/>
    </row>
    <row r="26" spans="1:20" ht="25.5" customHeight="1" x14ac:dyDescent="0.3">
      <c r="A26" s="94"/>
      <c r="B26" s="299" t="s">
        <v>58</v>
      </c>
      <c r="C26" s="99" t="s">
        <v>22</v>
      </c>
      <c r="D26" s="255">
        <v>912.82</v>
      </c>
      <c r="E26" s="101" t="s">
        <v>39</v>
      </c>
      <c r="F26" s="26">
        <f>3%*D25</f>
        <v>13.501799999999999</v>
      </c>
      <c r="G26" s="26">
        <f>3.5%*D25</f>
        <v>15.752100000000002</v>
      </c>
      <c r="H26" s="26">
        <f t="shared" ref="H26:H27" si="8">SUM(F26:G26)</f>
        <v>29.253900000000002</v>
      </c>
      <c r="I26" s="19">
        <v>0</v>
      </c>
      <c r="J26" s="19"/>
      <c r="K26" s="19"/>
      <c r="L26" s="19">
        <v>6</v>
      </c>
      <c r="M26" s="20">
        <f t="shared" si="7"/>
        <v>6</v>
      </c>
      <c r="N26" s="42"/>
      <c r="O26" s="38"/>
      <c r="P26" s="227">
        <f t="shared" si="0"/>
        <v>0</v>
      </c>
      <c r="Q26" s="29"/>
    </row>
    <row r="27" spans="1:20" ht="22.5" customHeight="1" x14ac:dyDescent="0.3">
      <c r="A27" s="94"/>
      <c r="B27" s="122" t="s">
        <v>59</v>
      </c>
      <c r="C27" s="123" t="s">
        <v>27</v>
      </c>
      <c r="D27" s="255">
        <v>163.44999999999999</v>
      </c>
      <c r="E27" s="101" t="s">
        <v>39</v>
      </c>
      <c r="F27" s="26">
        <f>2%*D25</f>
        <v>9.0012000000000008</v>
      </c>
      <c r="G27" s="26">
        <f>4%*D25</f>
        <v>18.002400000000002</v>
      </c>
      <c r="H27" s="26">
        <f t="shared" si="8"/>
        <v>27.003600000000002</v>
      </c>
      <c r="I27" s="19">
        <v>0</v>
      </c>
      <c r="J27" s="19"/>
      <c r="K27" s="19"/>
      <c r="L27" s="19">
        <v>4</v>
      </c>
      <c r="M27" s="20">
        <f t="shared" si="7"/>
        <v>4</v>
      </c>
      <c r="N27" s="42"/>
      <c r="O27" s="38"/>
      <c r="P27" s="227">
        <f t="shared" si="0"/>
        <v>0</v>
      </c>
      <c r="Q27" s="29"/>
    </row>
    <row r="28" spans="1:20" ht="20.25" customHeight="1" x14ac:dyDescent="0.3">
      <c r="A28" s="94"/>
      <c r="B28" s="299" t="s">
        <v>60</v>
      </c>
      <c r="C28" s="99" t="s">
        <v>42</v>
      </c>
      <c r="D28" s="255">
        <v>564.78</v>
      </c>
      <c r="E28" s="101" t="s">
        <v>39</v>
      </c>
      <c r="F28" s="26">
        <f>26%*D25</f>
        <v>117.01560000000001</v>
      </c>
      <c r="G28" s="26">
        <f>4%*D28</f>
        <v>22.591200000000001</v>
      </c>
      <c r="H28" s="26">
        <f>SUM(F28:G28)</f>
        <v>139.60680000000002</v>
      </c>
      <c r="I28" s="19">
        <v>0</v>
      </c>
      <c r="J28" s="19"/>
      <c r="K28" s="19"/>
      <c r="L28" s="19">
        <v>6</v>
      </c>
      <c r="M28" s="20">
        <f t="shared" si="7"/>
        <v>6</v>
      </c>
      <c r="N28" s="35"/>
      <c r="O28" s="36"/>
      <c r="P28" s="227">
        <f t="shared" si="0"/>
        <v>0</v>
      </c>
      <c r="Q28" s="29"/>
    </row>
    <row r="29" spans="1:20" ht="25.5" customHeight="1" x14ac:dyDescent="0.3">
      <c r="A29" s="94"/>
      <c r="B29" s="298"/>
      <c r="C29" s="123"/>
      <c r="D29" s="297">
        <f>SUM(D25:D28)</f>
        <v>2091.11</v>
      </c>
      <c r="E29" s="47"/>
      <c r="F29" s="297">
        <f t="shared" ref="F29:M29" si="9">SUM(F25:F28)</f>
        <v>202.52700000000002</v>
      </c>
      <c r="G29" s="297">
        <f t="shared" si="9"/>
        <v>65.796960000000013</v>
      </c>
      <c r="H29" s="297">
        <f t="shared" si="9"/>
        <v>268.32396000000006</v>
      </c>
      <c r="I29" s="297">
        <f t="shared" si="9"/>
        <v>0</v>
      </c>
      <c r="J29" s="297">
        <f t="shared" si="9"/>
        <v>0</v>
      </c>
      <c r="K29" s="297">
        <f t="shared" si="9"/>
        <v>0</v>
      </c>
      <c r="L29" s="297">
        <f t="shared" si="9"/>
        <v>22</v>
      </c>
      <c r="M29" s="297">
        <f t="shared" si="9"/>
        <v>22</v>
      </c>
      <c r="N29" s="35"/>
      <c r="O29" s="36"/>
      <c r="P29" s="227">
        <f t="shared" si="0"/>
        <v>0</v>
      </c>
      <c r="Q29" s="29"/>
    </row>
    <row r="30" spans="1:20" ht="18.75" customHeight="1" x14ac:dyDescent="0.3">
      <c r="A30" s="300"/>
      <c r="B30" s="300"/>
      <c r="C30" s="300"/>
      <c r="D30" s="301"/>
      <c r="E30" s="302"/>
      <c r="F30" s="303"/>
      <c r="G30" s="303"/>
      <c r="H30" s="303"/>
      <c r="I30" s="304"/>
      <c r="J30" s="304"/>
      <c r="K30" s="304"/>
      <c r="L30" s="305"/>
      <c r="M30" s="305"/>
      <c r="N30" s="302"/>
      <c r="O30" s="302"/>
      <c r="P30" s="306"/>
      <c r="Q30" s="304"/>
    </row>
    <row r="31" spans="1:20" ht="17.25" customHeight="1" x14ac:dyDescent="0.3">
      <c r="A31" s="63">
        <v>2</v>
      </c>
      <c r="B31" s="64" t="s">
        <v>23</v>
      </c>
      <c r="C31" s="65"/>
      <c r="D31" s="66"/>
      <c r="E31" s="67"/>
      <c r="F31" s="68"/>
      <c r="G31" s="68"/>
      <c r="H31" s="68"/>
      <c r="I31" s="68"/>
      <c r="J31" s="68"/>
      <c r="K31" s="68"/>
      <c r="L31" s="68"/>
      <c r="M31" s="68"/>
      <c r="N31" s="69"/>
      <c r="O31" s="70"/>
      <c r="P31" s="230"/>
      <c r="Q31" s="68"/>
      <c r="S31" s="1" t="s">
        <v>333</v>
      </c>
    </row>
    <row r="32" spans="1:20" ht="21" customHeight="1" x14ac:dyDescent="0.3">
      <c r="A32" s="13"/>
      <c r="B32" s="14" t="s">
        <v>57</v>
      </c>
      <c r="C32" s="15" t="s">
        <v>22</v>
      </c>
      <c r="D32" s="26">
        <v>206.78</v>
      </c>
      <c r="E32" s="47" t="s">
        <v>629</v>
      </c>
      <c r="F32" s="19">
        <f>3%*D32</f>
        <v>6.2034000000000002</v>
      </c>
      <c r="G32" s="224">
        <f>1%*D32</f>
        <v>2.0678000000000001</v>
      </c>
      <c r="H32" s="19">
        <f t="shared" ref="H32" si="10">SUM(F32:G32)</f>
        <v>8.2712000000000003</v>
      </c>
      <c r="I32" s="19">
        <v>0</v>
      </c>
      <c r="J32" s="19">
        <v>0</v>
      </c>
      <c r="K32" s="19"/>
      <c r="L32" s="19">
        <v>6</v>
      </c>
      <c r="M32" s="20">
        <f t="shared" ref="M32:M45" si="11">SUM(I32:L32)</f>
        <v>6</v>
      </c>
      <c r="N32" s="37" t="s">
        <v>51</v>
      </c>
      <c r="O32" s="399" t="s">
        <v>674</v>
      </c>
      <c r="P32" s="231">
        <f>G32*0.52*20%*25000000</f>
        <v>5376280</v>
      </c>
      <c r="Q32" s="16"/>
      <c r="S32" s="1" t="s">
        <v>659</v>
      </c>
      <c r="T32" s="1" t="s">
        <v>661</v>
      </c>
    </row>
    <row r="33" spans="1:20" ht="23.25" customHeight="1" x14ac:dyDescent="0.3">
      <c r="A33" s="54"/>
      <c r="B33" s="55" t="s">
        <v>58</v>
      </c>
      <c r="C33" s="56" t="s">
        <v>42</v>
      </c>
      <c r="D33" s="57">
        <v>68.599999999999994</v>
      </c>
      <c r="E33" s="47" t="s">
        <v>629</v>
      </c>
      <c r="F33" s="135">
        <f>4%*D32</f>
        <v>8.2712000000000003</v>
      </c>
      <c r="G33" s="224">
        <f>1%*D33</f>
        <v>0.68599999999999994</v>
      </c>
      <c r="H33" s="135">
        <f t="shared" ref="H33" si="12">SUM(F33:G33)</f>
        <v>8.9572000000000003</v>
      </c>
      <c r="I33" s="19"/>
      <c r="J33" s="19"/>
      <c r="K33" s="19"/>
      <c r="L33" s="19">
        <v>5</v>
      </c>
      <c r="M33" s="20">
        <f t="shared" si="11"/>
        <v>5</v>
      </c>
      <c r="N33" s="37"/>
      <c r="O33" s="401"/>
      <c r="P33" s="231">
        <f>G33*0.52*20%*25000000</f>
        <v>1783600</v>
      </c>
      <c r="Q33" s="16"/>
    </row>
    <row r="34" spans="1:20" ht="19.5" customHeight="1" x14ac:dyDescent="0.3">
      <c r="A34" s="54"/>
      <c r="B34" s="55" t="s">
        <v>59</v>
      </c>
      <c r="C34" s="56" t="s">
        <v>21</v>
      </c>
      <c r="D34" s="57">
        <v>75.94</v>
      </c>
      <c r="E34" s="47" t="s">
        <v>629</v>
      </c>
      <c r="F34" s="19">
        <f>3%*D32</f>
        <v>6.2034000000000002</v>
      </c>
      <c r="G34" s="224">
        <f>1%*D32</f>
        <v>2.0678000000000001</v>
      </c>
      <c r="H34" s="135">
        <f>F34+G34</f>
        <v>8.2712000000000003</v>
      </c>
      <c r="I34" s="19"/>
      <c r="J34" s="19"/>
      <c r="K34" s="19"/>
      <c r="L34" s="19"/>
      <c r="M34" s="20"/>
      <c r="N34" s="37"/>
      <c r="O34" s="401"/>
      <c r="P34" s="231">
        <f>G34*0.52*20%*25000000</f>
        <v>5376280</v>
      </c>
      <c r="Q34" s="16"/>
      <c r="S34" s="47" t="s">
        <v>40</v>
      </c>
    </row>
    <row r="35" spans="1:20" ht="19.5" customHeight="1" x14ac:dyDescent="0.3">
      <c r="A35" s="54"/>
      <c r="B35" s="8" t="s">
        <v>60</v>
      </c>
      <c r="C35" s="10" t="s">
        <v>44</v>
      </c>
      <c r="D35" s="90">
        <v>15.23</v>
      </c>
      <c r="E35" s="47" t="s">
        <v>629</v>
      </c>
      <c r="F35" s="19">
        <f>3%*D33</f>
        <v>2.0579999999999998</v>
      </c>
      <c r="G35" s="224">
        <f>1%*D33</f>
        <v>0.68599999999999994</v>
      </c>
      <c r="H35" s="135">
        <f>F35+G35</f>
        <v>2.7439999999999998</v>
      </c>
      <c r="I35" s="19"/>
      <c r="J35" s="19"/>
      <c r="K35" s="19"/>
      <c r="L35" s="19"/>
      <c r="M35" s="20"/>
      <c r="N35" s="37"/>
      <c r="O35" s="401"/>
      <c r="P35" s="231">
        <f>G35*0.52*20%*25000000</f>
        <v>1783600</v>
      </c>
      <c r="Q35" s="16"/>
    </row>
    <row r="36" spans="1:20" ht="19.5" customHeight="1" x14ac:dyDescent="0.3">
      <c r="A36" s="54"/>
      <c r="B36" s="8"/>
      <c r="C36" s="10"/>
      <c r="D36" s="309">
        <f>SUM(D32:D35)</f>
        <v>366.55</v>
      </c>
      <c r="E36" s="47"/>
      <c r="F36" s="309">
        <f t="shared" ref="F36:M36" si="13">SUM(F32:F35)</f>
        <v>22.736000000000001</v>
      </c>
      <c r="G36" s="309">
        <f t="shared" si="13"/>
        <v>5.5076000000000001</v>
      </c>
      <c r="H36" s="309">
        <f t="shared" si="13"/>
        <v>28.243600000000001</v>
      </c>
      <c r="I36" s="309">
        <f t="shared" si="13"/>
        <v>0</v>
      </c>
      <c r="J36" s="309">
        <f t="shared" si="13"/>
        <v>0</v>
      </c>
      <c r="K36" s="309">
        <f t="shared" si="13"/>
        <v>0</v>
      </c>
      <c r="L36" s="309">
        <f t="shared" si="13"/>
        <v>11</v>
      </c>
      <c r="M36" s="309">
        <f t="shared" si="13"/>
        <v>11</v>
      </c>
      <c r="N36" s="37"/>
      <c r="O36" s="401"/>
      <c r="P36" s="309">
        <f>SUM(P32:P35)</f>
        <v>14319760</v>
      </c>
      <c r="Q36" s="16"/>
    </row>
    <row r="37" spans="1:20" ht="20.25" customHeight="1" x14ac:dyDescent="0.3">
      <c r="A37" s="54"/>
      <c r="B37" s="14" t="s">
        <v>57</v>
      </c>
      <c r="C37" s="15" t="s">
        <v>22</v>
      </c>
      <c r="D37" s="26">
        <v>206.78</v>
      </c>
      <c r="E37" s="47" t="s">
        <v>669</v>
      </c>
      <c r="F37" s="19">
        <f>15%*D37</f>
        <v>31.016999999999999</v>
      </c>
      <c r="G37" s="224">
        <f>1%*D37</f>
        <v>2.0678000000000001</v>
      </c>
      <c r="H37" s="135">
        <f t="shared" ref="H37:H38" si="14">SUM(F37:G37)</f>
        <v>33.084800000000001</v>
      </c>
      <c r="I37" s="19">
        <v>0</v>
      </c>
      <c r="J37" s="19"/>
      <c r="K37" s="19"/>
      <c r="L37" s="19">
        <v>3</v>
      </c>
      <c r="M37" s="20">
        <f t="shared" si="11"/>
        <v>3</v>
      </c>
      <c r="N37" s="37"/>
      <c r="O37" s="400"/>
      <c r="P37" s="231">
        <f>G37*0.52*20%*25000000</f>
        <v>5376280</v>
      </c>
      <c r="Q37" s="16"/>
      <c r="S37" s="217" t="s">
        <v>660</v>
      </c>
      <c r="T37" s="1" t="s">
        <v>334</v>
      </c>
    </row>
    <row r="38" spans="1:20" ht="21" customHeight="1" x14ac:dyDescent="0.3">
      <c r="A38" s="54"/>
      <c r="B38" s="55" t="s">
        <v>58</v>
      </c>
      <c r="C38" s="56" t="s">
        <v>42</v>
      </c>
      <c r="D38" s="57">
        <v>68.599999999999994</v>
      </c>
      <c r="E38" s="47" t="s">
        <v>669</v>
      </c>
      <c r="F38" s="79">
        <f>3%*D37</f>
        <v>6.2034000000000002</v>
      </c>
      <c r="G38" s="224">
        <f>1%*D38</f>
        <v>0.68599999999999994</v>
      </c>
      <c r="H38" s="135">
        <f t="shared" si="14"/>
        <v>6.8894000000000002</v>
      </c>
      <c r="I38" s="19"/>
      <c r="J38" s="19"/>
      <c r="K38" s="19"/>
      <c r="L38" s="19"/>
      <c r="M38" s="20"/>
      <c r="N38" s="37"/>
      <c r="O38" s="259"/>
      <c r="P38" s="231">
        <f>G38*0.52*20%*25000000</f>
        <v>1783600</v>
      </c>
      <c r="Q38" s="16"/>
      <c r="S38" s="217"/>
    </row>
    <row r="39" spans="1:20" ht="21" customHeight="1" x14ac:dyDescent="0.3">
      <c r="A39" s="13"/>
      <c r="B39" s="55" t="s">
        <v>59</v>
      </c>
      <c r="C39" s="56" t="s">
        <v>21</v>
      </c>
      <c r="D39" s="57">
        <v>75.94</v>
      </c>
      <c r="E39" s="47" t="s">
        <v>669</v>
      </c>
      <c r="F39" s="135">
        <f>3%*D37</f>
        <v>6.2034000000000002</v>
      </c>
      <c r="G39" s="135">
        <f>4%*D37</f>
        <v>8.2712000000000003</v>
      </c>
      <c r="H39" s="135">
        <f>F39+G39</f>
        <v>14.474600000000001</v>
      </c>
      <c r="I39" s="19">
        <v>0</v>
      </c>
      <c r="J39" s="19"/>
      <c r="K39" s="19"/>
      <c r="L39" s="19">
        <v>3</v>
      </c>
      <c r="M39" s="20">
        <f t="shared" si="11"/>
        <v>3</v>
      </c>
      <c r="N39" s="37"/>
      <c r="O39" s="259"/>
      <c r="P39" s="231">
        <f>G39*0.52*20%*25000000</f>
        <v>21505120</v>
      </c>
      <c r="Q39" s="16"/>
    </row>
    <row r="40" spans="1:20" ht="21" customHeight="1" x14ac:dyDescent="0.3">
      <c r="A40" s="54"/>
      <c r="B40" s="8" t="s">
        <v>60</v>
      </c>
      <c r="C40" s="10" t="s">
        <v>44</v>
      </c>
      <c r="D40" s="90">
        <v>15.23</v>
      </c>
      <c r="E40" s="47" t="s">
        <v>669</v>
      </c>
      <c r="F40" s="19">
        <f>3%*D39</f>
        <v>2.2782</v>
      </c>
      <c r="G40" s="224">
        <f>2%*D39</f>
        <v>1.5187999999999999</v>
      </c>
      <c r="H40" s="135">
        <f>F40+G40</f>
        <v>3.7969999999999997</v>
      </c>
      <c r="I40" s="19">
        <v>0</v>
      </c>
      <c r="J40" s="19">
        <v>0</v>
      </c>
      <c r="K40" s="19">
        <v>0</v>
      </c>
      <c r="L40" s="19">
        <v>3</v>
      </c>
      <c r="M40" s="20">
        <f t="shared" si="11"/>
        <v>3</v>
      </c>
      <c r="N40" s="95"/>
      <c r="O40" s="260"/>
      <c r="P40" s="231">
        <f>G40*0.52*20%*25000000</f>
        <v>3948880.0000000005</v>
      </c>
      <c r="Q40" s="87"/>
    </row>
    <row r="41" spans="1:20" ht="21" customHeight="1" x14ac:dyDescent="0.3">
      <c r="A41" s="54"/>
      <c r="B41" s="55"/>
      <c r="C41" s="56"/>
      <c r="D41" s="310">
        <f>SUM(D37:D40)</f>
        <v>366.55</v>
      </c>
      <c r="E41" s="47"/>
      <c r="F41" s="309">
        <f t="shared" ref="F41:M41" si="15">SUM(F37:F40)</f>
        <v>45.701999999999998</v>
      </c>
      <c r="G41" s="309">
        <f t="shared" si="15"/>
        <v>12.543800000000001</v>
      </c>
      <c r="H41" s="309">
        <f t="shared" si="15"/>
        <v>58.245800000000003</v>
      </c>
      <c r="I41" s="309">
        <f t="shared" si="15"/>
        <v>0</v>
      </c>
      <c r="J41" s="309">
        <f t="shared" si="15"/>
        <v>0</v>
      </c>
      <c r="K41" s="309">
        <f t="shared" si="15"/>
        <v>0</v>
      </c>
      <c r="L41" s="309">
        <f t="shared" si="15"/>
        <v>9</v>
      </c>
      <c r="M41" s="309">
        <f t="shared" si="15"/>
        <v>9</v>
      </c>
      <c r="N41" s="95"/>
      <c r="O41" s="260"/>
      <c r="P41" s="309">
        <f>SUM(P37:P40)</f>
        <v>32613880</v>
      </c>
      <c r="Q41" s="87"/>
    </row>
    <row r="42" spans="1:20" ht="21.75" customHeight="1" x14ac:dyDescent="0.3">
      <c r="A42" s="54"/>
      <c r="B42" s="14" t="s">
        <v>57</v>
      </c>
      <c r="C42" s="15" t="s">
        <v>22</v>
      </c>
      <c r="D42" s="26">
        <v>206.78</v>
      </c>
      <c r="E42" s="47" t="s">
        <v>686</v>
      </c>
      <c r="F42" s="19">
        <f>6%*D42</f>
        <v>12.4068</v>
      </c>
      <c r="G42" s="224">
        <f>1%*D42</f>
        <v>2.0678000000000001</v>
      </c>
      <c r="H42" s="135">
        <f>F42+G42</f>
        <v>14.474600000000001</v>
      </c>
      <c r="I42" s="19">
        <v>0</v>
      </c>
      <c r="J42" s="19">
        <v>0</v>
      </c>
      <c r="K42" s="19"/>
      <c r="L42" s="19">
        <v>4</v>
      </c>
      <c r="M42" s="20">
        <f t="shared" si="11"/>
        <v>4</v>
      </c>
      <c r="N42" s="95"/>
      <c r="O42" s="260"/>
      <c r="P42" s="231">
        <f>G42*0.52*20%*25000000</f>
        <v>5376280</v>
      </c>
      <c r="Q42" s="87"/>
    </row>
    <row r="43" spans="1:20" ht="21.75" customHeight="1" x14ac:dyDescent="0.3">
      <c r="A43" s="54"/>
      <c r="B43" s="55" t="s">
        <v>58</v>
      </c>
      <c r="C43" s="56" t="s">
        <v>42</v>
      </c>
      <c r="D43" s="57">
        <v>68.599999999999994</v>
      </c>
      <c r="E43" s="47" t="s">
        <v>686</v>
      </c>
      <c r="F43" s="19">
        <f>3%*D42</f>
        <v>6.2034000000000002</v>
      </c>
      <c r="G43" s="224">
        <f>1%*D42</f>
        <v>2.0678000000000001</v>
      </c>
      <c r="H43" s="135">
        <f>F43+G43</f>
        <v>8.2712000000000003</v>
      </c>
      <c r="I43" s="19">
        <v>0</v>
      </c>
      <c r="J43" s="19">
        <v>0</v>
      </c>
      <c r="K43" s="19">
        <v>0</v>
      </c>
      <c r="L43" s="19">
        <v>3</v>
      </c>
      <c r="M43" s="20">
        <f t="shared" si="11"/>
        <v>3</v>
      </c>
      <c r="N43" s="95"/>
      <c r="O43" s="260"/>
      <c r="P43" s="231">
        <f>G43*0.52*20%*25000000</f>
        <v>5376280</v>
      </c>
      <c r="Q43" s="87"/>
    </row>
    <row r="44" spans="1:20" ht="21.75" customHeight="1" x14ac:dyDescent="0.3">
      <c r="A44" s="94"/>
      <c r="B44" s="55" t="s">
        <v>59</v>
      </c>
      <c r="C44" s="56" t="s">
        <v>21</v>
      </c>
      <c r="D44" s="57">
        <v>75.94</v>
      </c>
      <c r="E44" s="47" t="s">
        <v>686</v>
      </c>
      <c r="F44" s="19">
        <f>3%*D43</f>
        <v>2.0579999999999998</v>
      </c>
      <c r="G44" s="224">
        <f>1%*D43</f>
        <v>0.68599999999999994</v>
      </c>
      <c r="H44" s="135">
        <f>F44+G44</f>
        <v>2.7439999999999998</v>
      </c>
      <c r="I44" s="19">
        <v>0</v>
      </c>
      <c r="J44" s="19">
        <v>0</v>
      </c>
      <c r="K44" s="19">
        <v>0</v>
      </c>
      <c r="L44" s="19">
        <v>3</v>
      </c>
      <c r="M44" s="20">
        <f t="shared" si="11"/>
        <v>3</v>
      </c>
      <c r="N44" s="307"/>
      <c r="O44" s="308"/>
      <c r="P44" s="231">
        <f>G44*0.52*20%*25000000</f>
        <v>1783600</v>
      </c>
      <c r="Q44" s="5"/>
    </row>
    <row r="45" spans="1:20" ht="21.75" customHeight="1" x14ac:dyDescent="0.3">
      <c r="A45" s="94"/>
      <c r="B45" s="8" t="s">
        <v>60</v>
      </c>
      <c r="C45" s="10" t="s">
        <v>44</v>
      </c>
      <c r="D45" s="90">
        <v>15.23</v>
      </c>
      <c r="E45" s="47" t="s">
        <v>686</v>
      </c>
      <c r="F45" s="19">
        <f>3%*D44</f>
        <v>2.2782</v>
      </c>
      <c r="G45" s="224">
        <f>0.11%*D44</f>
        <v>8.3533999999999997E-2</v>
      </c>
      <c r="H45" s="135">
        <f>F45+G45</f>
        <v>2.3617340000000002</v>
      </c>
      <c r="I45" s="19">
        <v>0</v>
      </c>
      <c r="J45" s="19">
        <v>0</v>
      </c>
      <c r="K45" s="19">
        <v>0</v>
      </c>
      <c r="L45" s="19">
        <v>3</v>
      </c>
      <c r="M45" s="20">
        <f t="shared" si="11"/>
        <v>3</v>
      </c>
      <c r="N45" s="307"/>
      <c r="O45" s="308"/>
      <c r="P45" s="231">
        <f>G45*0.52*20%*25000000</f>
        <v>217188.40000000002</v>
      </c>
      <c r="Q45" s="5"/>
    </row>
    <row r="46" spans="1:20" ht="21.75" customHeight="1" x14ac:dyDescent="0.3">
      <c r="A46" s="94"/>
      <c r="B46" s="55"/>
      <c r="C46" s="56"/>
      <c r="D46" s="310">
        <f>SUM(D42:D45)</f>
        <v>366.55</v>
      </c>
      <c r="E46" s="47"/>
      <c r="F46" s="309">
        <f t="shared" ref="F46:M46" si="16">SUM(F42:F45)</f>
        <v>22.946399999999997</v>
      </c>
      <c r="G46" s="309">
        <f t="shared" si="16"/>
        <v>4.9051340000000003</v>
      </c>
      <c r="H46" s="309">
        <f t="shared" si="16"/>
        <v>27.851534000000001</v>
      </c>
      <c r="I46" s="309">
        <f t="shared" si="16"/>
        <v>0</v>
      </c>
      <c r="J46" s="309">
        <f t="shared" si="16"/>
        <v>0</v>
      </c>
      <c r="K46" s="309">
        <f t="shared" si="16"/>
        <v>0</v>
      </c>
      <c r="L46" s="309">
        <f t="shared" si="16"/>
        <v>13</v>
      </c>
      <c r="M46" s="309">
        <f t="shared" si="16"/>
        <v>13</v>
      </c>
      <c r="N46" s="307"/>
      <c r="O46" s="308"/>
      <c r="P46" s="309">
        <f>SUM(P42:P45)</f>
        <v>12753348.4</v>
      </c>
      <c r="Q46" s="5"/>
    </row>
    <row r="47" spans="1:20" ht="21.75" customHeight="1" x14ac:dyDescent="0.3">
      <c r="A47" s="94"/>
      <c r="B47" s="14" t="s">
        <v>57</v>
      </c>
      <c r="C47" s="15" t="s">
        <v>22</v>
      </c>
      <c r="D47" s="26">
        <v>206.78</v>
      </c>
      <c r="E47" s="47" t="s">
        <v>40</v>
      </c>
      <c r="F47" s="19">
        <f>6%*D47</f>
        <v>12.4068</v>
      </c>
      <c r="G47" s="224">
        <f>3%*D47</f>
        <v>6.2034000000000002</v>
      </c>
      <c r="H47" s="135">
        <f>F47+G47</f>
        <v>18.610199999999999</v>
      </c>
      <c r="I47" s="19">
        <v>0</v>
      </c>
      <c r="J47" s="19">
        <v>0</v>
      </c>
      <c r="K47" s="19"/>
      <c r="L47" s="19">
        <v>4</v>
      </c>
      <c r="M47" s="20">
        <f t="shared" ref="M47:M50" si="17">SUM(I47:L47)</f>
        <v>4</v>
      </c>
      <c r="N47" s="307"/>
      <c r="O47" s="308"/>
      <c r="P47" s="231">
        <f>G47*0.52*20%*25000000</f>
        <v>16128840.000000002</v>
      </c>
      <c r="Q47" s="5"/>
    </row>
    <row r="48" spans="1:20" ht="21.75" customHeight="1" x14ac:dyDescent="0.3">
      <c r="A48" s="94"/>
      <c r="B48" s="55" t="s">
        <v>58</v>
      </c>
      <c r="C48" s="56" t="s">
        <v>42</v>
      </c>
      <c r="D48" s="57">
        <v>68.599999999999994</v>
      </c>
      <c r="E48" s="47" t="s">
        <v>40</v>
      </c>
      <c r="F48" s="19">
        <f>3%*D47</f>
        <v>6.2034000000000002</v>
      </c>
      <c r="G48" s="224">
        <f>2%*D47</f>
        <v>4.1356000000000002</v>
      </c>
      <c r="H48" s="135">
        <f>F48+G48</f>
        <v>10.339</v>
      </c>
      <c r="I48" s="19">
        <v>0</v>
      </c>
      <c r="J48" s="19">
        <v>0</v>
      </c>
      <c r="K48" s="19">
        <v>0</v>
      </c>
      <c r="L48" s="19">
        <v>3</v>
      </c>
      <c r="M48" s="20">
        <f t="shared" si="17"/>
        <v>3</v>
      </c>
      <c r="N48" s="307"/>
      <c r="O48" s="308"/>
      <c r="P48" s="231">
        <f>G48*0.52*20%*25000000</f>
        <v>10752560</v>
      </c>
      <c r="Q48" s="5"/>
    </row>
    <row r="49" spans="1:19" ht="21.75" customHeight="1" x14ac:dyDescent="0.3">
      <c r="A49" s="94"/>
      <c r="B49" s="55" t="s">
        <v>59</v>
      </c>
      <c r="C49" s="56" t="s">
        <v>21</v>
      </c>
      <c r="D49" s="57">
        <v>75.94</v>
      </c>
      <c r="E49" s="47" t="s">
        <v>40</v>
      </c>
      <c r="F49" s="19">
        <f>3%*D48</f>
        <v>2.0579999999999998</v>
      </c>
      <c r="G49" s="224">
        <f>2%*D48</f>
        <v>1.3719999999999999</v>
      </c>
      <c r="H49" s="135">
        <f>F49+G49</f>
        <v>3.4299999999999997</v>
      </c>
      <c r="I49" s="19">
        <v>0</v>
      </c>
      <c r="J49" s="19">
        <v>0</v>
      </c>
      <c r="K49" s="19">
        <v>0</v>
      </c>
      <c r="L49" s="19">
        <v>3</v>
      </c>
      <c r="M49" s="20">
        <f t="shared" si="17"/>
        <v>3</v>
      </c>
      <c r="N49" s="307"/>
      <c r="O49" s="308"/>
      <c r="P49" s="231">
        <f>G49*0.52*20%*25000000</f>
        <v>3567200</v>
      </c>
      <c r="Q49" s="5"/>
    </row>
    <row r="50" spans="1:19" ht="21.75" customHeight="1" x14ac:dyDescent="0.3">
      <c r="A50" s="94"/>
      <c r="B50" s="8" t="s">
        <v>60</v>
      </c>
      <c r="C50" s="10" t="s">
        <v>44</v>
      </c>
      <c r="D50" s="90">
        <v>15.23</v>
      </c>
      <c r="E50" s="47" t="s">
        <v>40</v>
      </c>
      <c r="F50" s="19">
        <f>3%*D49</f>
        <v>2.2782</v>
      </c>
      <c r="G50" s="224">
        <f>2%*D49</f>
        <v>1.5187999999999999</v>
      </c>
      <c r="H50" s="135">
        <f>F50+G50</f>
        <v>3.7969999999999997</v>
      </c>
      <c r="I50" s="19">
        <v>0</v>
      </c>
      <c r="J50" s="19">
        <v>0</v>
      </c>
      <c r="K50" s="19">
        <v>0</v>
      </c>
      <c r="L50" s="19">
        <v>3</v>
      </c>
      <c r="M50" s="20">
        <f t="shared" si="17"/>
        <v>3</v>
      </c>
      <c r="N50" s="307"/>
      <c r="O50" s="308"/>
      <c r="P50" s="231">
        <f>G50*0.52*20%*25000000</f>
        <v>3948880.0000000005</v>
      </c>
      <c r="Q50" s="5"/>
    </row>
    <row r="51" spans="1:19" ht="21.75" customHeight="1" x14ac:dyDescent="0.3">
      <c r="A51" s="94"/>
      <c r="B51" s="55"/>
      <c r="C51" s="56"/>
      <c r="D51" s="310">
        <f>SUM(D47:D50)</f>
        <v>366.55</v>
      </c>
      <c r="E51" s="47"/>
      <c r="F51" s="309">
        <f t="shared" ref="F51:M51" si="18">SUM(F47:F50)</f>
        <v>22.946399999999997</v>
      </c>
      <c r="G51" s="309">
        <f t="shared" si="18"/>
        <v>13.229800000000001</v>
      </c>
      <c r="H51" s="309">
        <f t="shared" si="18"/>
        <v>36.176199999999994</v>
      </c>
      <c r="I51" s="309">
        <f t="shared" si="18"/>
        <v>0</v>
      </c>
      <c r="J51" s="309">
        <f t="shared" si="18"/>
        <v>0</v>
      </c>
      <c r="K51" s="309">
        <f t="shared" si="18"/>
        <v>0</v>
      </c>
      <c r="L51" s="309">
        <f t="shared" si="18"/>
        <v>13</v>
      </c>
      <c r="M51" s="309">
        <f t="shared" si="18"/>
        <v>13</v>
      </c>
      <c r="N51" s="307"/>
      <c r="O51" s="308"/>
      <c r="P51" s="309">
        <f>SUM(P47:P50)</f>
        <v>34397480</v>
      </c>
      <c r="Q51" s="5"/>
    </row>
    <row r="52" spans="1:19" ht="21.75" customHeight="1" x14ac:dyDescent="0.3">
      <c r="A52" s="94"/>
      <c r="B52" s="8"/>
      <c r="C52" s="10"/>
      <c r="D52" s="309"/>
      <c r="E52" s="91"/>
      <c r="F52" s="309"/>
      <c r="G52" s="309"/>
      <c r="H52" s="309"/>
      <c r="I52" s="309"/>
      <c r="J52" s="309"/>
      <c r="K52" s="309"/>
      <c r="L52" s="309"/>
      <c r="M52" s="309"/>
      <c r="N52" s="307"/>
      <c r="O52" s="308"/>
      <c r="P52" s="384"/>
      <c r="Q52" s="5"/>
    </row>
    <row r="53" spans="1:19" ht="21.75" customHeight="1" x14ac:dyDescent="0.3">
      <c r="A53" s="94"/>
      <c r="B53" s="8"/>
      <c r="C53" s="10"/>
      <c r="D53" s="309"/>
      <c r="E53" s="91"/>
      <c r="F53" s="309"/>
      <c r="G53" s="309"/>
      <c r="H53" s="309"/>
      <c r="I53" s="309"/>
      <c r="J53" s="309"/>
      <c r="K53" s="309"/>
      <c r="L53" s="309"/>
      <c r="M53" s="309"/>
      <c r="N53" s="307"/>
      <c r="O53" s="308"/>
      <c r="P53" s="384"/>
      <c r="Q53" s="5"/>
    </row>
    <row r="54" spans="1:19" ht="21.75" customHeight="1" x14ac:dyDescent="0.3">
      <c r="A54" s="311"/>
      <c r="B54" s="312"/>
      <c r="C54" s="313"/>
      <c r="D54" s="314"/>
      <c r="E54" s="315"/>
      <c r="F54" s="316"/>
      <c r="G54" s="317"/>
      <c r="H54" s="317"/>
      <c r="I54" s="316"/>
      <c r="J54" s="316"/>
      <c r="K54" s="316"/>
      <c r="L54" s="316"/>
      <c r="M54" s="318"/>
      <c r="N54" s="319"/>
      <c r="O54" s="320"/>
      <c r="P54" s="321"/>
      <c r="Q54" s="322"/>
    </row>
    <row r="55" spans="1:19" ht="18.75" customHeight="1" x14ac:dyDescent="0.3">
      <c r="A55" s="63">
        <v>3</v>
      </c>
      <c r="B55" s="64" t="s">
        <v>19</v>
      </c>
      <c r="C55" s="65"/>
      <c r="D55" s="66"/>
      <c r="E55" s="67"/>
      <c r="F55" s="82"/>
      <c r="G55" s="82"/>
      <c r="H55" s="82"/>
      <c r="I55" s="82"/>
      <c r="J55" s="82"/>
      <c r="K55" s="82"/>
      <c r="L55" s="82"/>
      <c r="M55" s="82"/>
      <c r="N55" s="69"/>
      <c r="O55" s="112"/>
      <c r="P55" s="233"/>
      <c r="Q55" s="68"/>
    </row>
    <row r="56" spans="1:19" ht="22.5" customHeight="1" x14ac:dyDescent="0.3">
      <c r="A56" s="13"/>
      <c r="B56" s="14" t="s">
        <v>57</v>
      </c>
      <c r="C56" s="15" t="s">
        <v>24</v>
      </c>
      <c r="D56" s="26">
        <f>1347+481.9+54</f>
        <v>1882.9</v>
      </c>
      <c r="E56" s="50" t="s">
        <v>52</v>
      </c>
      <c r="F56" s="19">
        <f>6%*D56</f>
        <v>112.974</v>
      </c>
      <c r="G56" s="26">
        <f>25%*D56</f>
        <v>470.72500000000002</v>
      </c>
      <c r="H56" s="26">
        <f>SUM(F56:G56)</f>
        <v>583.69900000000007</v>
      </c>
      <c r="I56" s="19">
        <v>0</v>
      </c>
      <c r="J56" s="19"/>
      <c r="K56" s="19"/>
      <c r="L56" s="19">
        <v>9</v>
      </c>
      <c r="M56" s="19">
        <f>SUM(I56:L56)</f>
        <v>9</v>
      </c>
      <c r="N56" s="35">
        <v>1</v>
      </c>
      <c r="O56" s="401" t="s">
        <v>677</v>
      </c>
      <c r="P56" s="234">
        <f t="shared" ref="P56:P82" si="19">G56*0.815*26%*3500000</f>
        <v>349113196.25</v>
      </c>
      <c r="Q56" s="16"/>
    </row>
    <row r="57" spans="1:19" ht="21.75" customHeight="1" x14ac:dyDescent="0.3">
      <c r="A57" s="13"/>
      <c r="B57" s="14" t="s">
        <v>58</v>
      </c>
      <c r="C57" s="15" t="s">
        <v>25</v>
      </c>
      <c r="D57" s="26">
        <f>1378+343.2+54.3</f>
        <v>1775.5</v>
      </c>
      <c r="E57" s="50" t="s">
        <v>52</v>
      </c>
      <c r="F57" s="19">
        <f>7%*D57</f>
        <v>124.28500000000001</v>
      </c>
      <c r="G57" s="26">
        <f>10%*D57</f>
        <v>177.55</v>
      </c>
      <c r="H57" s="26">
        <f t="shared" ref="H57:H79" si="20">SUM(F57:G57)</f>
        <v>301.83500000000004</v>
      </c>
      <c r="I57" s="19">
        <v>0</v>
      </c>
      <c r="J57" s="19"/>
      <c r="K57" s="19"/>
      <c r="L57" s="19">
        <v>6</v>
      </c>
      <c r="M57" s="19">
        <f t="shared" ref="M57:M79" si="21">SUM(I57:L57)</f>
        <v>6</v>
      </c>
      <c r="N57" s="35"/>
      <c r="O57" s="401"/>
      <c r="P57" s="234">
        <f t="shared" si="19"/>
        <v>131679957.5</v>
      </c>
      <c r="Q57" s="16"/>
      <c r="S57" s="47" t="s">
        <v>624</v>
      </c>
    </row>
    <row r="58" spans="1:19" ht="21" customHeight="1" x14ac:dyDescent="0.3">
      <c r="A58" s="13"/>
      <c r="B58" s="14" t="s">
        <v>59</v>
      </c>
      <c r="C58" s="15" t="s">
        <v>26</v>
      </c>
      <c r="D58" s="26">
        <f>1052+337+22</f>
        <v>1411</v>
      </c>
      <c r="E58" s="50" t="s">
        <v>52</v>
      </c>
      <c r="F58" s="19">
        <f>3%*D58</f>
        <v>42.33</v>
      </c>
      <c r="G58" s="26">
        <f>32%*D58</f>
        <v>451.52</v>
      </c>
      <c r="H58" s="26">
        <f t="shared" si="20"/>
        <v>493.84999999999997</v>
      </c>
      <c r="I58" s="19"/>
      <c r="J58" s="19"/>
      <c r="K58" s="19"/>
      <c r="L58" s="19">
        <v>4</v>
      </c>
      <c r="M58" s="19">
        <f t="shared" si="21"/>
        <v>4</v>
      </c>
      <c r="N58" s="35"/>
      <c r="O58" s="401"/>
      <c r="P58" s="234">
        <f t="shared" si="19"/>
        <v>334869808</v>
      </c>
      <c r="Q58" s="16"/>
      <c r="S58" s="47" t="s">
        <v>234</v>
      </c>
    </row>
    <row r="59" spans="1:19" ht="15" customHeight="1" x14ac:dyDescent="0.3">
      <c r="A59" s="13"/>
      <c r="B59" s="14" t="s">
        <v>60</v>
      </c>
      <c r="C59" s="15" t="s">
        <v>55</v>
      </c>
      <c r="D59" s="26">
        <f>385.4+167.93+3</f>
        <v>556.32999999999993</v>
      </c>
      <c r="E59" s="50" t="s">
        <v>52</v>
      </c>
      <c r="F59" s="19">
        <f>5%*D59</f>
        <v>27.816499999999998</v>
      </c>
      <c r="G59" s="26">
        <f>9%*D59</f>
        <v>50.06969999999999</v>
      </c>
      <c r="H59" s="26">
        <f t="shared" si="20"/>
        <v>77.886199999999988</v>
      </c>
      <c r="I59" s="19">
        <v>0</v>
      </c>
      <c r="J59" s="19">
        <v>0</v>
      </c>
      <c r="K59" s="19"/>
      <c r="L59" s="19">
        <v>8</v>
      </c>
      <c r="M59" s="19">
        <f t="shared" si="21"/>
        <v>8</v>
      </c>
      <c r="N59" s="35"/>
      <c r="O59" s="401"/>
      <c r="P59" s="234">
        <f t="shared" si="19"/>
        <v>37134193.004999995</v>
      </c>
      <c r="Q59" s="16"/>
      <c r="S59" s="50" t="s">
        <v>52</v>
      </c>
    </row>
    <row r="60" spans="1:19" ht="18.75" customHeight="1" x14ac:dyDescent="0.3">
      <c r="A60" s="13"/>
      <c r="B60" s="14" t="s">
        <v>61</v>
      </c>
      <c r="C60" s="15" t="s">
        <v>27</v>
      </c>
      <c r="D60" s="26">
        <f>650.7+162.25+3</f>
        <v>815.95</v>
      </c>
      <c r="E60" s="50" t="s">
        <v>52</v>
      </c>
      <c r="F60" s="19">
        <f>8%*D60</f>
        <v>65.27600000000001</v>
      </c>
      <c r="G60" s="26">
        <f>20%*D60</f>
        <v>163.19000000000003</v>
      </c>
      <c r="H60" s="26">
        <f t="shared" si="20"/>
        <v>228.46600000000004</v>
      </c>
      <c r="I60" s="19">
        <v>0</v>
      </c>
      <c r="J60" s="19">
        <v>0</v>
      </c>
      <c r="K60" s="19">
        <v>0</v>
      </c>
      <c r="L60" s="19">
        <v>6</v>
      </c>
      <c r="M60" s="19">
        <f t="shared" si="21"/>
        <v>6</v>
      </c>
      <c r="N60" s="35"/>
      <c r="O60" s="36"/>
      <c r="P60" s="234">
        <f t="shared" si="19"/>
        <v>121029863.50000001</v>
      </c>
      <c r="Q60" s="16"/>
    </row>
    <row r="61" spans="1:19" ht="16.5" customHeight="1" x14ac:dyDescent="0.3">
      <c r="A61" s="13"/>
      <c r="B61" s="14" t="s">
        <v>62</v>
      </c>
      <c r="C61" s="15" t="s">
        <v>28</v>
      </c>
      <c r="D61" s="26">
        <f>955+634.6+5</f>
        <v>1594.6</v>
      </c>
      <c r="E61" s="50" t="s">
        <v>52</v>
      </c>
      <c r="F61" s="19">
        <f>7%*D61</f>
        <v>111.622</v>
      </c>
      <c r="G61" s="26">
        <f>8%*D61</f>
        <v>127.568</v>
      </c>
      <c r="H61" s="26">
        <f t="shared" si="20"/>
        <v>239.19</v>
      </c>
      <c r="I61" s="19">
        <v>0</v>
      </c>
      <c r="J61" s="19">
        <v>0</v>
      </c>
      <c r="K61" s="19"/>
      <c r="L61" s="19">
        <v>6</v>
      </c>
      <c r="M61" s="19">
        <f t="shared" si="21"/>
        <v>6</v>
      </c>
      <c r="N61" s="35">
        <v>2</v>
      </c>
      <c r="O61" s="399" t="s">
        <v>643</v>
      </c>
      <c r="P61" s="234">
        <f t="shared" si="19"/>
        <v>94610807.200000003</v>
      </c>
      <c r="Q61" s="16"/>
    </row>
    <row r="62" spans="1:19" ht="16.5" customHeight="1" x14ac:dyDescent="0.3">
      <c r="A62" s="13"/>
      <c r="B62" s="14" t="s">
        <v>63</v>
      </c>
      <c r="C62" s="15" t="s">
        <v>29</v>
      </c>
      <c r="D62" s="26">
        <f>1576+278.5+30</f>
        <v>1884.5</v>
      </c>
      <c r="E62" s="50" t="s">
        <v>52</v>
      </c>
      <c r="F62" s="19">
        <f>3%*D62</f>
        <v>56.534999999999997</v>
      </c>
      <c r="G62" s="26">
        <f>8%*D62</f>
        <v>150.76</v>
      </c>
      <c r="H62" s="26">
        <f t="shared" si="20"/>
        <v>207.29499999999999</v>
      </c>
      <c r="I62" s="19">
        <v>0</v>
      </c>
      <c r="J62" s="19">
        <v>0</v>
      </c>
      <c r="K62" s="19"/>
      <c r="L62" s="19">
        <v>7</v>
      </c>
      <c r="M62" s="19">
        <f t="shared" si="21"/>
        <v>7</v>
      </c>
      <c r="N62" s="35"/>
      <c r="O62" s="401"/>
      <c r="P62" s="234">
        <f t="shared" si="19"/>
        <v>111811153.99999999</v>
      </c>
      <c r="Q62" s="16"/>
    </row>
    <row r="63" spans="1:19" ht="16.5" customHeight="1" x14ac:dyDescent="0.3">
      <c r="A63" s="13"/>
      <c r="B63" s="14" t="s">
        <v>64</v>
      </c>
      <c r="C63" s="15" t="s">
        <v>56</v>
      </c>
      <c r="D63" s="26">
        <f>283.6+64.7+20+42</f>
        <v>410.3</v>
      </c>
      <c r="E63" s="50" t="s">
        <v>52</v>
      </c>
      <c r="F63" s="19">
        <f>7%*D63</f>
        <v>28.721000000000004</v>
      </c>
      <c r="G63" s="26">
        <f>16%*D63</f>
        <v>65.647999999999996</v>
      </c>
      <c r="H63" s="26">
        <f t="shared" si="20"/>
        <v>94.369</v>
      </c>
      <c r="I63" s="19">
        <v>0</v>
      </c>
      <c r="J63" s="19"/>
      <c r="K63" s="19"/>
      <c r="L63" s="19">
        <v>0</v>
      </c>
      <c r="M63" s="19">
        <f t="shared" si="21"/>
        <v>0</v>
      </c>
      <c r="N63" s="35"/>
      <c r="O63" s="401"/>
      <c r="P63" s="234">
        <f t="shared" si="19"/>
        <v>48687839.199999996</v>
      </c>
      <c r="Q63" s="16"/>
    </row>
    <row r="64" spans="1:19" ht="18" customHeight="1" x14ac:dyDescent="0.3">
      <c r="A64" s="13"/>
      <c r="B64" s="14" t="s">
        <v>65</v>
      </c>
      <c r="C64" s="15" t="s">
        <v>30</v>
      </c>
      <c r="D64" s="26">
        <f>1500.5+566.7</f>
        <v>2067.1999999999998</v>
      </c>
      <c r="E64" s="50" t="s">
        <v>52</v>
      </c>
      <c r="F64" s="19">
        <f>5%*D64</f>
        <v>103.36</v>
      </c>
      <c r="G64" s="26">
        <f>16%*D64</f>
        <v>330.75199999999995</v>
      </c>
      <c r="H64" s="26">
        <f t="shared" si="20"/>
        <v>434.11199999999997</v>
      </c>
      <c r="I64" s="19">
        <v>0</v>
      </c>
      <c r="J64" s="19">
        <v>0</v>
      </c>
      <c r="K64" s="19">
        <v>0</v>
      </c>
      <c r="L64" s="19">
        <v>6</v>
      </c>
      <c r="M64" s="19">
        <f t="shared" si="21"/>
        <v>6</v>
      </c>
      <c r="N64" s="35"/>
      <c r="O64" s="401"/>
      <c r="P64" s="234">
        <f t="shared" si="19"/>
        <v>245302220.79999998</v>
      </c>
      <c r="Q64" s="16"/>
    </row>
    <row r="65" spans="1:17" ht="18.75" customHeight="1" x14ac:dyDescent="0.3">
      <c r="A65" s="13"/>
      <c r="B65" s="14" t="s">
        <v>66</v>
      </c>
      <c r="C65" s="15" t="s">
        <v>31</v>
      </c>
      <c r="D65" s="26">
        <f>1214.5+396.5</f>
        <v>1611</v>
      </c>
      <c r="E65" s="50" t="s">
        <v>52</v>
      </c>
      <c r="F65" s="19">
        <f>6%*D65</f>
        <v>96.66</v>
      </c>
      <c r="G65" s="26">
        <f>11%*D65</f>
        <v>177.21</v>
      </c>
      <c r="H65" s="26">
        <f t="shared" si="20"/>
        <v>273.87</v>
      </c>
      <c r="I65" s="19">
        <v>0</v>
      </c>
      <c r="J65" s="19">
        <v>0</v>
      </c>
      <c r="K65" s="19">
        <v>0</v>
      </c>
      <c r="L65" s="19">
        <v>0</v>
      </c>
      <c r="M65" s="19">
        <f t="shared" si="21"/>
        <v>0</v>
      </c>
      <c r="N65" s="35"/>
      <c r="O65" s="401"/>
      <c r="P65" s="234">
        <f t="shared" si="19"/>
        <v>131427796.50000001</v>
      </c>
      <c r="Q65" s="16"/>
    </row>
    <row r="66" spans="1:17" ht="21" customHeight="1" x14ac:dyDescent="0.3">
      <c r="A66" s="13"/>
      <c r="B66" s="14" t="s">
        <v>67</v>
      </c>
      <c r="C66" s="15" t="s">
        <v>32</v>
      </c>
      <c r="D66" s="26">
        <f>998.9+79.5+13.3</f>
        <v>1091.7</v>
      </c>
      <c r="E66" s="50" t="s">
        <v>52</v>
      </c>
      <c r="F66" s="19">
        <f>8%*D66</f>
        <v>87.335999999999999</v>
      </c>
      <c r="G66" s="26">
        <f>11%*D66</f>
        <v>120.087</v>
      </c>
      <c r="H66" s="26">
        <f t="shared" si="20"/>
        <v>207.423</v>
      </c>
      <c r="I66" s="19">
        <v>0</v>
      </c>
      <c r="J66" s="19">
        <v>0</v>
      </c>
      <c r="K66" s="19">
        <v>0</v>
      </c>
      <c r="L66" s="19">
        <v>0</v>
      </c>
      <c r="M66" s="19">
        <f t="shared" si="21"/>
        <v>0</v>
      </c>
      <c r="N66" s="35"/>
      <c r="O66" s="401"/>
      <c r="P66" s="234">
        <f t="shared" si="19"/>
        <v>89062523.549999997</v>
      </c>
      <c r="Q66" s="16"/>
    </row>
    <row r="67" spans="1:17" ht="18.75" customHeight="1" x14ac:dyDescent="0.3">
      <c r="A67" s="13"/>
      <c r="B67" s="14" t="s">
        <v>68</v>
      </c>
      <c r="C67" s="15" t="s">
        <v>33</v>
      </c>
      <c r="D67" s="26">
        <f>1347+176.5+40</f>
        <v>1563.5</v>
      </c>
      <c r="E67" s="50" t="s">
        <v>52</v>
      </c>
      <c r="F67" s="19">
        <f>10%*D67</f>
        <v>156.35000000000002</v>
      </c>
      <c r="G67" s="26">
        <f>12%*D67</f>
        <v>187.62</v>
      </c>
      <c r="H67" s="26">
        <f t="shared" si="20"/>
        <v>343.97</v>
      </c>
      <c r="I67" s="19">
        <v>0</v>
      </c>
      <c r="J67" s="19"/>
      <c r="K67" s="19">
        <v>0</v>
      </c>
      <c r="L67" s="19">
        <v>0</v>
      </c>
      <c r="M67" s="19">
        <f t="shared" si="21"/>
        <v>0</v>
      </c>
      <c r="N67" s="35"/>
      <c r="O67" s="401"/>
      <c r="P67" s="234">
        <f t="shared" si="19"/>
        <v>139148373</v>
      </c>
      <c r="Q67" s="16"/>
    </row>
    <row r="68" spans="1:17" ht="19.5" customHeight="1" x14ac:dyDescent="0.3">
      <c r="A68" s="13"/>
      <c r="B68" s="14" t="s">
        <v>69</v>
      </c>
      <c r="C68" s="15" t="s">
        <v>34</v>
      </c>
      <c r="D68" s="26">
        <f>1892.1+376+20+24</f>
        <v>2312.1</v>
      </c>
      <c r="E68" s="50" t="s">
        <v>52</v>
      </c>
      <c r="F68" s="19">
        <f>4%*D68</f>
        <v>92.483999999999995</v>
      </c>
      <c r="G68" s="26">
        <f>21%*D68</f>
        <v>485.54099999999994</v>
      </c>
      <c r="H68" s="26">
        <f t="shared" si="20"/>
        <v>578.02499999999998</v>
      </c>
      <c r="I68" s="19">
        <v>0</v>
      </c>
      <c r="J68" s="19"/>
      <c r="K68" s="19"/>
      <c r="L68" s="19">
        <v>11</v>
      </c>
      <c r="M68" s="19">
        <f t="shared" si="21"/>
        <v>11</v>
      </c>
      <c r="N68" s="35"/>
      <c r="O68" s="401"/>
      <c r="P68" s="234">
        <f t="shared" si="19"/>
        <v>360101482.64999998</v>
      </c>
      <c r="Q68" s="16"/>
    </row>
    <row r="69" spans="1:17" ht="16.5" customHeight="1" x14ac:dyDescent="0.3">
      <c r="A69" s="13"/>
      <c r="B69" s="14" t="s">
        <v>70</v>
      </c>
      <c r="C69" s="15" t="s">
        <v>35</v>
      </c>
      <c r="D69" s="26">
        <f>1559+185.25</f>
        <v>1744.25</v>
      </c>
      <c r="E69" s="50" t="s">
        <v>52</v>
      </c>
      <c r="F69" s="19">
        <f>4%*D69</f>
        <v>69.77</v>
      </c>
      <c r="G69" s="26">
        <f>14%*D69</f>
        <v>244.19500000000002</v>
      </c>
      <c r="H69" s="26">
        <f t="shared" si="20"/>
        <v>313.96500000000003</v>
      </c>
      <c r="I69" s="19">
        <v>0</v>
      </c>
      <c r="J69" s="19">
        <v>0</v>
      </c>
      <c r="K69" s="19">
        <v>0</v>
      </c>
      <c r="L69" s="19">
        <v>0</v>
      </c>
      <c r="M69" s="19">
        <f t="shared" si="21"/>
        <v>0</v>
      </c>
      <c r="N69" s="35"/>
      <c r="O69" s="401"/>
      <c r="P69" s="234">
        <f t="shared" si="19"/>
        <v>181107221.75</v>
      </c>
      <c r="Q69" s="16"/>
    </row>
    <row r="70" spans="1:17" ht="17.25" customHeight="1" x14ac:dyDescent="0.3">
      <c r="A70" s="13"/>
      <c r="B70" s="14" t="s">
        <v>71</v>
      </c>
      <c r="C70" s="15" t="s">
        <v>21</v>
      </c>
      <c r="D70" s="26">
        <f>1972+130</f>
        <v>2102</v>
      </c>
      <c r="E70" s="50" t="s">
        <v>52</v>
      </c>
      <c r="F70" s="19">
        <f>4%*D70</f>
        <v>84.08</v>
      </c>
      <c r="G70" s="26">
        <f>12%*D70</f>
        <v>252.23999999999998</v>
      </c>
      <c r="H70" s="26">
        <f t="shared" si="20"/>
        <v>336.32</v>
      </c>
      <c r="I70" s="19">
        <v>0</v>
      </c>
      <c r="J70" s="19">
        <v>0</v>
      </c>
      <c r="K70" s="19">
        <v>0</v>
      </c>
      <c r="L70" s="19">
        <v>0</v>
      </c>
      <c r="M70" s="19">
        <f t="shared" si="21"/>
        <v>0</v>
      </c>
      <c r="N70" s="35"/>
      <c r="O70" s="401"/>
      <c r="P70" s="234">
        <f t="shared" si="19"/>
        <v>187073796</v>
      </c>
      <c r="Q70" s="16"/>
    </row>
    <row r="71" spans="1:17" ht="22.5" customHeight="1" x14ac:dyDescent="0.3">
      <c r="A71" s="13"/>
      <c r="B71" s="14" t="s">
        <v>72</v>
      </c>
      <c r="C71" s="15" t="s">
        <v>42</v>
      </c>
      <c r="D71" s="26">
        <f>791.1+303.8+20</f>
        <v>1114.9000000000001</v>
      </c>
      <c r="E71" s="50" t="s">
        <v>52</v>
      </c>
      <c r="F71" s="19">
        <f>5%*D71</f>
        <v>55.745000000000005</v>
      </c>
      <c r="G71" s="26">
        <f>15%*D71</f>
        <v>167.23500000000001</v>
      </c>
      <c r="H71" s="26">
        <f t="shared" si="20"/>
        <v>222.98000000000002</v>
      </c>
      <c r="I71" s="19">
        <v>0</v>
      </c>
      <c r="J71" s="19">
        <v>0</v>
      </c>
      <c r="K71" s="19">
        <v>0</v>
      </c>
      <c r="L71" s="19">
        <v>4</v>
      </c>
      <c r="M71" s="19">
        <f t="shared" si="21"/>
        <v>4</v>
      </c>
      <c r="N71" s="35"/>
      <c r="O71" s="400"/>
      <c r="P71" s="234">
        <f t="shared" si="19"/>
        <v>124029837.75000001</v>
      </c>
      <c r="Q71" s="16"/>
    </row>
    <row r="72" spans="1:17" ht="21" customHeight="1" x14ac:dyDescent="0.3">
      <c r="A72" s="13"/>
      <c r="B72" s="14" t="s">
        <v>73</v>
      </c>
      <c r="C72" s="15" t="s">
        <v>105</v>
      </c>
      <c r="D72" s="26">
        <f>153.8+8.7+20</f>
        <v>182.5</v>
      </c>
      <c r="E72" s="50" t="s">
        <v>52</v>
      </c>
      <c r="F72" s="19">
        <f>7%*D72</f>
        <v>12.775</v>
      </c>
      <c r="G72" s="26">
        <f>10%*D72</f>
        <v>18.25</v>
      </c>
      <c r="H72" s="26">
        <f t="shared" si="20"/>
        <v>31.024999999999999</v>
      </c>
      <c r="I72" s="19">
        <v>0</v>
      </c>
      <c r="J72" s="19">
        <v>0</v>
      </c>
      <c r="K72" s="19">
        <v>0</v>
      </c>
      <c r="L72" s="19">
        <v>7</v>
      </c>
      <c r="M72" s="19">
        <f t="shared" si="21"/>
        <v>7</v>
      </c>
      <c r="N72" s="35"/>
      <c r="O72" s="36"/>
      <c r="P72" s="234">
        <f t="shared" si="19"/>
        <v>13535112.5</v>
      </c>
      <c r="Q72" s="16"/>
    </row>
    <row r="73" spans="1:17" ht="20.25" customHeight="1" x14ac:dyDescent="0.3">
      <c r="A73" s="13"/>
      <c r="B73" s="14" t="s">
        <v>74</v>
      </c>
      <c r="C73" s="15" t="s">
        <v>110</v>
      </c>
      <c r="D73" s="26">
        <f>695+48.2</f>
        <v>743.2</v>
      </c>
      <c r="E73" s="50" t="s">
        <v>52</v>
      </c>
      <c r="F73" s="19">
        <f>10%*D73</f>
        <v>74.320000000000007</v>
      </c>
      <c r="G73" s="26">
        <f>15%*D73</f>
        <v>111.48</v>
      </c>
      <c r="H73" s="26">
        <f t="shared" si="20"/>
        <v>185.8</v>
      </c>
      <c r="I73" s="19">
        <v>0</v>
      </c>
      <c r="J73" s="19">
        <v>0</v>
      </c>
      <c r="K73" s="19">
        <v>0</v>
      </c>
      <c r="L73" s="19">
        <v>0</v>
      </c>
      <c r="M73" s="19">
        <f t="shared" si="21"/>
        <v>0</v>
      </c>
      <c r="N73" s="35">
        <v>3</v>
      </c>
      <c r="O73" s="399" t="s">
        <v>644</v>
      </c>
      <c r="P73" s="234">
        <f t="shared" si="19"/>
        <v>82679142</v>
      </c>
      <c r="Q73" s="16"/>
    </row>
    <row r="74" spans="1:17" ht="22.5" customHeight="1" x14ac:dyDescent="0.3">
      <c r="A74" s="13"/>
      <c r="B74" s="14" t="s">
        <v>75</v>
      </c>
      <c r="C74" s="15" t="s">
        <v>112</v>
      </c>
      <c r="D74" s="26">
        <f>375+14</f>
        <v>389</v>
      </c>
      <c r="E74" s="50" t="s">
        <v>52</v>
      </c>
      <c r="F74" s="19">
        <f>5%*D74</f>
        <v>19.450000000000003</v>
      </c>
      <c r="G74" s="26">
        <f>11%*D74</f>
        <v>42.79</v>
      </c>
      <c r="H74" s="26">
        <f t="shared" si="20"/>
        <v>62.24</v>
      </c>
      <c r="I74" s="19">
        <v>0</v>
      </c>
      <c r="J74" s="19">
        <v>0</v>
      </c>
      <c r="K74" s="19">
        <v>0</v>
      </c>
      <c r="L74" s="19">
        <v>0</v>
      </c>
      <c r="M74" s="19">
        <f t="shared" si="21"/>
        <v>0</v>
      </c>
      <c r="N74" s="35"/>
      <c r="O74" s="401"/>
      <c r="P74" s="234">
        <f t="shared" si="19"/>
        <v>31735203.499999996</v>
      </c>
      <c r="Q74" s="16"/>
    </row>
    <row r="75" spans="1:17" ht="18.75" customHeight="1" x14ac:dyDescent="0.3">
      <c r="A75" s="13"/>
      <c r="B75" s="14" t="s">
        <v>104</v>
      </c>
      <c r="C75" s="15" t="s">
        <v>114</v>
      </c>
      <c r="D75" s="26">
        <f>73.5</f>
        <v>73.5</v>
      </c>
      <c r="E75" s="50" t="s">
        <v>52</v>
      </c>
      <c r="F75" s="19">
        <f>9%*D75</f>
        <v>6.6149999999999993</v>
      </c>
      <c r="G75" s="26">
        <f>6%*D75</f>
        <v>4.41</v>
      </c>
      <c r="H75" s="26">
        <f t="shared" si="20"/>
        <v>11.024999999999999</v>
      </c>
      <c r="I75" s="19">
        <v>0</v>
      </c>
      <c r="J75" s="19">
        <v>0</v>
      </c>
      <c r="K75" s="19">
        <v>0</v>
      </c>
      <c r="L75" s="19">
        <v>8</v>
      </c>
      <c r="M75" s="19">
        <f t="shared" si="21"/>
        <v>8</v>
      </c>
      <c r="N75" s="35"/>
      <c r="O75" s="401"/>
      <c r="P75" s="234">
        <f t="shared" si="19"/>
        <v>3270676.5</v>
      </c>
      <c r="Q75" s="16"/>
    </row>
    <row r="76" spans="1:17" ht="21.75" customHeight="1" x14ac:dyDescent="0.3">
      <c r="A76" s="13"/>
      <c r="B76" s="14" t="s">
        <v>106</v>
      </c>
      <c r="C76" s="15" t="s">
        <v>22</v>
      </c>
      <c r="D76" s="26">
        <f>1205.05+115</f>
        <v>1320.05</v>
      </c>
      <c r="E76" s="50" t="s">
        <v>52</v>
      </c>
      <c r="F76" s="19">
        <f>8%*D76</f>
        <v>105.604</v>
      </c>
      <c r="G76" s="26">
        <f>12%*D76</f>
        <v>158.40599999999998</v>
      </c>
      <c r="H76" s="26">
        <f t="shared" si="20"/>
        <v>264.01</v>
      </c>
      <c r="I76" s="19">
        <v>0</v>
      </c>
      <c r="J76" s="19">
        <v>0</v>
      </c>
      <c r="K76" s="19"/>
      <c r="L76" s="19">
        <v>9</v>
      </c>
      <c r="M76" s="19">
        <f t="shared" si="21"/>
        <v>9</v>
      </c>
      <c r="N76" s="35"/>
      <c r="O76" s="401"/>
      <c r="P76" s="234">
        <f t="shared" si="19"/>
        <v>117481809.89999998</v>
      </c>
      <c r="Q76" s="16"/>
    </row>
    <row r="77" spans="1:17" ht="21" customHeight="1" x14ac:dyDescent="0.3">
      <c r="A77" s="13"/>
      <c r="B77" s="14" t="s">
        <v>108</v>
      </c>
      <c r="C77" s="15" t="s">
        <v>180</v>
      </c>
      <c r="D77" s="26">
        <f>134.8+5</f>
        <v>139.80000000000001</v>
      </c>
      <c r="E77" s="47" t="s">
        <v>52</v>
      </c>
      <c r="F77" s="19">
        <f>5%*D77</f>
        <v>6.9900000000000011</v>
      </c>
      <c r="G77" s="26">
        <f>16%*D77</f>
        <v>22.368000000000002</v>
      </c>
      <c r="H77" s="26">
        <f t="shared" si="20"/>
        <v>29.358000000000004</v>
      </c>
      <c r="I77" s="19">
        <v>0</v>
      </c>
      <c r="J77" s="19">
        <v>0</v>
      </c>
      <c r="K77" s="19">
        <v>0</v>
      </c>
      <c r="L77" s="19">
        <v>8</v>
      </c>
      <c r="M77" s="19">
        <f t="shared" si="21"/>
        <v>8</v>
      </c>
      <c r="N77" s="35"/>
      <c r="O77" s="401"/>
      <c r="P77" s="234">
        <f t="shared" si="19"/>
        <v>16589227.200000001</v>
      </c>
      <c r="Q77" s="16"/>
    </row>
    <row r="78" spans="1:17" ht="21.75" customHeight="1" x14ac:dyDescent="0.3">
      <c r="A78" s="13"/>
      <c r="B78" s="14" t="s">
        <v>109</v>
      </c>
      <c r="C78" s="15" t="s">
        <v>43</v>
      </c>
      <c r="D78" s="26">
        <f>1195+218.6</f>
        <v>1413.6</v>
      </c>
      <c r="E78" s="50" t="s">
        <v>52</v>
      </c>
      <c r="F78" s="19">
        <f>6%*D78</f>
        <v>84.815999999999988</v>
      </c>
      <c r="G78" s="26">
        <f>10%*D78</f>
        <v>141.35999999999999</v>
      </c>
      <c r="H78" s="26">
        <f t="shared" si="20"/>
        <v>226.17599999999999</v>
      </c>
      <c r="I78" s="19">
        <v>0</v>
      </c>
      <c r="J78" s="19">
        <v>0</v>
      </c>
      <c r="K78" s="19">
        <v>0</v>
      </c>
      <c r="L78" s="19">
        <v>0</v>
      </c>
      <c r="M78" s="19">
        <f t="shared" si="21"/>
        <v>0</v>
      </c>
      <c r="N78" s="35"/>
      <c r="O78" s="400"/>
      <c r="P78" s="234">
        <f t="shared" si="19"/>
        <v>104839644</v>
      </c>
      <c r="Q78" s="16"/>
    </row>
    <row r="79" spans="1:17" ht="21" customHeight="1" x14ac:dyDescent="0.3">
      <c r="A79" s="54"/>
      <c r="B79" s="55" t="s">
        <v>111</v>
      </c>
      <c r="C79" s="56" t="s">
        <v>44</v>
      </c>
      <c r="D79" s="57">
        <f>1400.35+129.1</f>
        <v>1529.4499999999998</v>
      </c>
      <c r="E79" s="78" t="s">
        <v>52</v>
      </c>
      <c r="F79" s="79">
        <f>6%*D79</f>
        <v>91.766999999999982</v>
      </c>
      <c r="G79" s="57">
        <f>11%*D79</f>
        <v>168.23949999999999</v>
      </c>
      <c r="H79" s="57">
        <f t="shared" si="20"/>
        <v>260.00649999999996</v>
      </c>
      <c r="I79" s="79">
        <v>0</v>
      </c>
      <c r="J79" s="79">
        <v>0</v>
      </c>
      <c r="K79" s="79">
        <v>0</v>
      </c>
      <c r="L79" s="79">
        <v>6</v>
      </c>
      <c r="M79" s="79">
        <f t="shared" si="21"/>
        <v>6</v>
      </c>
      <c r="N79" s="80"/>
      <c r="O79" s="81"/>
      <c r="P79" s="239">
        <f t="shared" si="19"/>
        <v>124774825.17499998</v>
      </c>
      <c r="Q79" s="87"/>
    </row>
    <row r="80" spans="1:17" ht="14.25" customHeight="1" x14ac:dyDescent="0.3">
      <c r="A80" s="13"/>
      <c r="B80" s="328"/>
      <c r="C80" s="287"/>
      <c r="D80" s="34">
        <f>SUM(D56:D79)</f>
        <v>29728.829999999998</v>
      </c>
      <c r="E80" s="323"/>
      <c r="F80" s="324">
        <f>SUM(F60:F79)</f>
        <v>1410.2760000000003</v>
      </c>
      <c r="G80" s="324">
        <f t="shared" ref="G80:M80" si="22">SUM(G56:G79)</f>
        <v>4289.2141999999985</v>
      </c>
      <c r="H80" s="324">
        <f t="shared" si="22"/>
        <v>6006.8956999999991</v>
      </c>
      <c r="I80" s="324">
        <f t="shared" si="22"/>
        <v>0</v>
      </c>
      <c r="J80" s="324">
        <f t="shared" si="22"/>
        <v>0</v>
      </c>
      <c r="K80" s="324">
        <f t="shared" si="22"/>
        <v>0</v>
      </c>
      <c r="L80" s="324">
        <f t="shared" si="22"/>
        <v>105</v>
      </c>
      <c r="M80" s="324">
        <f t="shared" si="22"/>
        <v>105</v>
      </c>
      <c r="N80" s="325"/>
      <c r="O80" s="326"/>
      <c r="P80" s="327">
        <f>SUM(P56:P79)</f>
        <v>3181095711.4299998</v>
      </c>
      <c r="Q80" s="16"/>
    </row>
    <row r="81" spans="1:22" ht="18.75" customHeight="1" x14ac:dyDescent="0.3">
      <c r="A81" s="94"/>
      <c r="B81" s="1" t="s">
        <v>57</v>
      </c>
      <c r="C81" s="15" t="s">
        <v>24</v>
      </c>
      <c r="D81" s="26">
        <f>1347+481.9+54</f>
        <v>1882.9</v>
      </c>
      <c r="E81" s="47" t="s">
        <v>624</v>
      </c>
      <c r="F81" s="19">
        <f>6%*D81</f>
        <v>112.974</v>
      </c>
      <c r="G81" s="26">
        <f>15%*D81</f>
        <v>282.435</v>
      </c>
      <c r="H81" s="26">
        <f>SUM(F81:G81)</f>
        <v>395.40899999999999</v>
      </c>
      <c r="I81" s="19">
        <v>0</v>
      </c>
      <c r="J81" s="19"/>
      <c r="K81" s="19"/>
      <c r="L81" s="19">
        <v>9</v>
      </c>
      <c r="M81" s="19">
        <f>SUM(I81:L81)</f>
        <v>9</v>
      </c>
      <c r="N81" s="93"/>
      <c r="O81" s="51"/>
      <c r="P81" s="234">
        <f t="shared" si="19"/>
        <v>209467917.74999997</v>
      </c>
      <c r="Q81" s="5"/>
    </row>
    <row r="82" spans="1:22" ht="18.75" customHeight="1" x14ac:dyDescent="0.3">
      <c r="A82" s="94"/>
      <c r="B82" s="1" t="s">
        <v>58</v>
      </c>
      <c r="C82" s="15" t="s">
        <v>25</v>
      </c>
      <c r="D82" s="26">
        <f>1378+343.2+54.3</f>
        <v>1775.5</v>
      </c>
      <c r="E82" s="47" t="s">
        <v>624</v>
      </c>
      <c r="F82" s="19">
        <f>6%*D82</f>
        <v>106.53</v>
      </c>
      <c r="G82" s="26">
        <f>15%*D82</f>
        <v>266.32499999999999</v>
      </c>
      <c r="H82" s="26">
        <f>SUM(F82:G82)</f>
        <v>372.85500000000002</v>
      </c>
      <c r="I82" s="19">
        <v>0</v>
      </c>
      <c r="J82" s="19"/>
      <c r="K82" s="19"/>
      <c r="L82" s="19">
        <v>9</v>
      </c>
      <c r="M82" s="19">
        <f>SUM(I82:L82)</f>
        <v>9</v>
      </c>
      <c r="N82" s="93"/>
      <c r="O82" s="51"/>
      <c r="P82" s="239">
        <f t="shared" si="19"/>
        <v>197519936.25</v>
      </c>
      <c r="Q82" s="5"/>
    </row>
    <row r="83" spans="1:22" ht="14.25" customHeight="1" x14ac:dyDescent="0.3">
      <c r="A83" s="94"/>
      <c r="C83" s="10"/>
      <c r="D83" s="329">
        <f>SUM(D81:D82)</f>
        <v>3658.4</v>
      </c>
      <c r="E83" s="91"/>
      <c r="F83" s="329">
        <f t="shared" ref="F83:M83" si="23">SUM(F81:F82)</f>
        <v>219.50400000000002</v>
      </c>
      <c r="G83" s="329">
        <f t="shared" si="23"/>
        <v>548.76</v>
      </c>
      <c r="H83" s="329">
        <f t="shared" si="23"/>
        <v>768.26400000000001</v>
      </c>
      <c r="I83" s="329">
        <f t="shared" si="23"/>
        <v>0</v>
      </c>
      <c r="J83" s="329">
        <f t="shared" si="23"/>
        <v>0</v>
      </c>
      <c r="K83" s="329">
        <f t="shared" si="23"/>
        <v>0</v>
      </c>
      <c r="L83" s="329">
        <f t="shared" si="23"/>
        <v>18</v>
      </c>
      <c r="M83" s="329">
        <f t="shared" si="23"/>
        <v>18</v>
      </c>
      <c r="N83" s="93"/>
      <c r="O83" s="51"/>
      <c r="P83" s="329">
        <f>SUM(P81:P82)</f>
        <v>406987854</v>
      </c>
      <c r="Q83" s="5"/>
    </row>
    <row r="84" spans="1:22" ht="18.75" customHeight="1" x14ac:dyDescent="0.3">
      <c r="A84" s="311"/>
      <c r="B84" s="330"/>
      <c r="C84" s="313"/>
      <c r="D84" s="331"/>
      <c r="E84" s="315"/>
      <c r="F84" s="316"/>
      <c r="G84" s="316"/>
      <c r="H84" s="316"/>
      <c r="I84" s="316"/>
      <c r="J84" s="316"/>
      <c r="K84" s="316"/>
      <c r="L84" s="316"/>
      <c r="M84" s="316"/>
      <c r="N84" s="332"/>
      <c r="O84" s="333"/>
      <c r="P84" s="334"/>
      <c r="Q84" s="322"/>
      <c r="R84" s="375"/>
    </row>
    <row r="85" spans="1:22" ht="18" customHeight="1" x14ac:dyDescent="0.3">
      <c r="A85" s="63">
        <v>4</v>
      </c>
      <c r="B85" s="64" t="s">
        <v>46</v>
      </c>
      <c r="C85" s="65"/>
      <c r="D85" s="66"/>
      <c r="E85" s="67"/>
      <c r="F85" s="82"/>
      <c r="G85" s="82"/>
      <c r="H85" s="82"/>
      <c r="I85" s="82"/>
      <c r="J85" s="82"/>
      <c r="K85" s="82"/>
      <c r="L85" s="82"/>
      <c r="M85" s="82"/>
      <c r="N85" s="69"/>
      <c r="O85" s="70"/>
      <c r="P85" s="233"/>
      <c r="Q85" s="68"/>
      <c r="S85" s="1" t="s">
        <v>641</v>
      </c>
    </row>
    <row r="86" spans="1:22" ht="18.75" customHeight="1" x14ac:dyDescent="0.3">
      <c r="A86" s="102"/>
      <c r="B86" s="98" t="s">
        <v>57</v>
      </c>
      <c r="C86" s="99" t="s">
        <v>29</v>
      </c>
      <c r="D86" s="96">
        <v>175</v>
      </c>
      <c r="E86" s="101" t="s">
        <v>645</v>
      </c>
      <c r="F86" s="96">
        <f>2%*D86</f>
        <v>3.5</v>
      </c>
      <c r="G86" s="96">
        <f>2%*D86</f>
        <v>3.5</v>
      </c>
      <c r="H86" s="96">
        <f>SUM(F86:G86)</f>
        <v>7</v>
      </c>
      <c r="I86" s="97">
        <v>0</v>
      </c>
      <c r="J86" s="97"/>
      <c r="K86" s="97"/>
      <c r="L86" s="97">
        <v>2</v>
      </c>
      <c r="M86" s="97">
        <f t="shared" ref="M86:M93" si="24">SUM(I86:L86)</f>
        <v>2</v>
      </c>
      <c r="N86" s="35" t="s">
        <v>51</v>
      </c>
      <c r="O86" s="36" t="s">
        <v>229</v>
      </c>
      <c r="P86" s="234">
        <f>G86*1.036*20%*8000000</f>
        <v>5801600.0000000009</v>
      </c>
      <c r="Q86" s="16"/>
      <c r="S86" s="100" t="s">
        <v>645</v>
      </c>
      <c r="V86" s="1" t="s">
        <v>696</v>
      </c>
    </row>
    <row r="87" spans="1:22" ht="18.75" customHeight="1" x14ac:dyDescent="0.3">
      <c r="A87" s="13"/>
      <c r="B87" s="14" t="s">
        <v>58</v>
      </c>
      <c r="C87" s="15" t="s">
        <v>33</v>
      </c>
      <c r="D87" s="26">
        <v>368</v>
      </c>
      <c r="E87" s="101" t="s">
        <v>645</v>
      </c>
      <c r="F87" s="26">
        <f>3%*D87</f>
        <v>11.04</v>
      </c>
      <c r="G87" s="26">
        <f>4%*D87</f>
        <v>14.72</v>
      </c>
      <c r="H87" s="26">
        <f t="shared" ref="H87:H93" si="25">SUM(F87:G87)</f>
        <v>25.759999999999998</v>
      </c>
      <c r="I87" s="19">
        <v>0</v>
      </c>
      <c r="J87" s="19"/>
      <c r="K87" s="19">
        <v>0</v>
      </c>
      <c r="L87" s="19">
        <v>3</v>
      </c>
      <c r="M87" s="19">
        <f t="shared" si="24"/>
        <v>3</v>
      </c>
      <c r="N87" s="35" t="s">
        <v>51</v>
      </c>
      <c r="O87" s="36" t="s">
        <v>138</v>
      </c>
      <c r="P87" s="234">
        <f>G87*1.036*20%*8000000</f>
        <v>24399872.000000004</v>
      </c>
      <c r="Q87" s="16"/>
      <c r="S87" s="1" t="s">
        <v>697</v>
      </c>
    </row>
    <row r="88" spans="1:22" ht="18.75" customHeight="1" x14ac:dyDescent="0.3">
      <c r="A88" s="13"/>
      <c r="B88" s="98" t="s">
        <v>59</v>
      </c>
      <c r="C88" s="99" t="s">
        <v>42</v>
      </c>
      <c r="D88" s="96">
        <v>774.98</v>
      </c>
      <c r="E88" s="101" t="s">
        <v>645</v>
      </c>
      <c r="F88" s="96">
        <f>2%*D88</f>
        <v>15.499600000000001</v>
      </c>
      <c r="G88" s="97">
        <f>5%*D88</f>
        <v>38.749000000000002</v>
      </c>
      <c r="H88" s="96">
        <f t="shared" si="25"/>
        <v>54.248600000000003</v>
      </c>
      <c r="I88" s="97">
        <v>0</v>
      </c>
      <c r="J88" s="97"/>
      <c r="K88" s="97"/>
      <c r="L88" s="97">
        <v>4</v>
      </c>
      <c r="M88" s="97">
        <f t="shared" si="24"/>
        <v>4</v>
      </c>
      <c r="N88" s="35"/>
      <c r="O88" s="36"/>
      <c r="P88" s="234">
        <f>G88*1.036*20%*8000000</f>
        <v>64230342.400000013</v>
      </c>
      <c r="Q88" s="16"/>
      <c r="S88" s="335" t="s">
        <v>687</v>
      </c>
      <c r="U88" s="1" t="s">
        <v>693</v>
      </c>
    </row>
    <row r="89" spans="1:22" ht="18.75" customHeight="1" x14ac:dyDescent="0.3">
      <c r="A89" s="13"/>
      <c r="B89" s="98" t="s">
        <v>60</v>
      </c>
      <c r="C89" s="99" t="s">
        <v>21</v>
      </c>
      <c r="D89" s="96">
        <v>949.55</v>
      </c>
      <c r="E89" s="101" t="s">
        <v>645</v>
      </c>
      <c r="F89" s="96">
        <f>2%*D89</f>
        <v>18.991</v>
      </c>
      <c r="G89" s="97">
        <f>6%*D89</f>
        <v>56.972999999999992</v>
      </c>
      <c r="H89" s="96">
        <f t="shared" si="25"/>
        <v>75.963999999999999</v>
      </c>
      <c r="I89" s="97">
        <v>0</v>
      </c>
      <c r="J89" s="97"/>
      <c r="K89" s="97">
        <v>0</v>
      </c>
      <c r="L89" s="97">
        <v>5</v>
      </c>
      <c r="M89" s="97">
        <f t="shared" si="24"/>
        <v>5</v>
      </c>
      <c r="N89" s="35"/>
      <c r="O89" s="36"/>
      <c r="P89" s="234">
        <f t="shared" ref="P89:P92" si="26">G89*1.036*20%*8500000</f>
        <v>100340847.59999999</v>
      </c>
      <c r="Q89" s="16"/>
      <c r="S89" s="335" t="s">
        <v>688</v>
      </c>
      <c r="U89" s="1" t="s">
        <v>693</v>
      </c>
    </row>
    <row r="90" spans="1:22" ht="18.75" customHeight="1" x14ac:dyDescent="0.3">
      <c r="A90" s="13"/>
      <c r="B90" s="14" t="s">
        <v>61</v>
      </c>
      <c r="C90" s="15" t="s">
        <v>22</v>
      </c>
      <c r="D90" s="26">
        <v>1226.55</v>
      </c>
      <c r="E90" s="101" t="s">
        <v>645</v>
      </c>
      <c r="F90" s="96">
        <f>5%*D89</f>
        <v>47.477499999999999</v>
      </c>
      <c r="G90" s="96">
        <f>6%*D89</f>
        <v>56.972999999999992</v>
      </c>
      <c r="H90" s="96">
        <f>SUM(F90:G90)</f>
        <v>104.45049999999999</v>
      </c>
      <c r="I90" s="19">
        <v>0</v>
      </c>
      <c r="J90" s="19">
        <v>0</v>
      </c>
      <c r="K90" s="19">
        <v>0</v>
      </c>
      <c r="L90" s="19">
        <v>5</v>
      </c>
      <c r="M90" s="19">
        <f t="shared" si="24"/>
        <v>5</v>
      </c>
      <c r="N90" s="35"/>
      <c r="O90" s="36"/>
      <c r="P90" s="234">
        <f t="shared" si="26"/>
        <v>100340847.59999999</v>
      </c>
      <c r="Q90" s="16"/>
      <c r="S90" s="1" t="s">
        <v>689</v>
      </c>
      <c r="V90" s="1" t="s">
        <v>693</v>
      </c>
    </row>
    <row r="91" spans="1:22" ht="18.75" customHeight="1" x14ac:dyDescent="0.3">
      <c r="A91" s="16"/>
      <c r="B91" s="55" t="s">
        <v>62</v>
      </c>
      <c r="C91" s="56" t="s">
        <v>43</v>
      </c>
      <c r="D91" s="57">
        <v>133</v>
      </c>
      <c r="E91" s="101" t="s">
        <v>645</v>
      </c>
      <c r="F91" s="26">
        <f>4%*D91</f>
        <v>5.32</v>
      </c>
      <c r="G91" s="19">
        <f>7%*D91</f>
        <v>9.31</v>
      </c>
      <c r="H91" s="26">
        <f t="shared" si="25"/>
        <v>14.63</v>
      </c>
      <c r="I91" s="19">
        <v>0</v>
      </c>
      <c r="J91" s="19"/>
      <c r="K91" s="19"/>
      <c r="L91" s="19">
        <v>6</v>
      </c>
      <c r="M91" s="19">
        <f t="shared" si="24"/>
        <v>6</v>
      </c>
      <c r="N91" s="35"/>
      <c r="O91" s="36"/>
      <c r="P91" s="234">
        <f t="shared" si="26"/>
        <v>16396772.000000002</v>
      </c>
      <c r="Q91" s="16"/>
      <c r="S91" s="1" t="s">
        <v>690</v>
      </c>
      <c r="V91" s="1" t="s">
        <v>693</v>
      </c>
    </row>
    <row r="92" spans="1:22" ht="18.75" customHeight="1" x14ac:dyDescent="0.3">
      <c r="A92" s="87"/>
      <c r="B92" s="14" t="s">
        <v>63</v>
      </c>
      <c r="C92" s="15" t="s">
        <v>44</v>
      </c>
      <c r="D92" s="26">
        <v>324.64999999999998</v>
      </c>
      <c r="E92" s="101" t="s">
        <v>645</v>
      </c>
      <c r="F92" s="26">
        <f>3%*D91</f>
        <v>3.9899999999999998</v>
      </c>
      <c r="G92" s="19">
        <f>D91*10%</f>
        <v>13.3</v>
      </c>
      <c r="H92" s="26">
        <f>F92+G92</f>
        <v>17.29</v>
      </c>
      <c r="I92" s="19"/>
      <c r="J92" s="19"/>
      <c r="K92" s="19"/>
      <c r="L92" s="19"/>
      <c r="M92" s="19"/>
      <c r="N92" s="35"/>
      <c r="O92" s="36"/>
      <c r="P92" s="234">
        <f t="shared" si="26"/>
        <v>23423960.000000004</v>
      </c>
      <c r="Q92" s="16"/>
      <c r="S92" s="1" t="s">
        <v>691</v>
      </c>
      <c r="U92" s="1" t="s">
        <v>692</v>
      </c>
    </row>
    <row r="93" spans="1:22" ht="18.75" customHeight="1" x14ac:dyDescent="0.3">
      <c r="A93" s="87"/>
      <c r="B93" s="14" t="s">
        <v>64</v>
      </c>
      <c r="C93" s="15" t="s">
        <v>32</v>
      </c>
      <c r="D93" s="26">
        <v>246.5</v>
      </c>
      <c r="E93" s="101" t="s">
        <v>645</v>
      </c>
      <c r="F93" s="19">
        <f>4%*D93</f>
        <v>9.86</v>
      </c>
      <c r="G93" s="135">
        <f>3%*D93</f>
        <v>7.3949999999999996</v>
      </c>
      <c r="H93" s="26">
        <f t="shared" si="25"/>
        <v>17.254999999999999</v>
      </c>
      <c r="I93" s="19">
        <v>0</v>
      </c>
      <c r="J93" s="19"/>
      <c r="K93" s="19">
        <v>0</v>
      </c>
      <c r="L93" s="19">
        <v>3</v>
      </c>
      <c r="M93" s="19">
        <f t="shared" si="24"/>
        <v>3</v>
      </c>
      <c r="N93" s="35"/>
      <c r="O93" s="36"/>
      <c r="P93" s="234">
        <f>G93*1.036*20%*8000000</f>
        <v>12257952.000000002</v>
      </c>
      <c r="Q93" s="16"/>
      <c r="S93" s="1" t="s">
        <v>694</v>
      </c>
      <c r="U93" s="1" t="s">
        <v>692</v>
      </c>
    </row>
    <row r="94" spans="1:22" ht="19.5" customHeight="1" x14ac:dyDescent="0.3">
      <c r="A94" s="87"/>
      <c r="B94" s="98"/>
      <c r="C94" s="296"/>
      <c r="D94" s="289">
        <f>SUM(D86:D93)</f>
        <v>4198.2299999999996</v>
      </c>
      <c r="E94" s="288"/>
      <c r="F94" s="289">
        <f t="shared" ref="F94:M94" si="27">SUM(F86:F93)</f>
        <v>115.6781</v>
      </c>
      <c r="G94" s="289">
        <f t="shared" si="27"/>
        <v>200.92000000000002</v>
      </c>
      <c r="H94" s="289">
        <f t="shared" si="27"/>
        <v>316.59809999999999</v>
      </c>
      <c r="I94" s="289">
        <f t="shared" si="27"/>
        <v>0</v>
      </c>
      <c r="J94" s="289">
        <f t="shared" si="27"/>
        <v>0</v>
      </c>
      <c r="K94" s="289">
        <f t="shared" si="27"/>
        <v>0</v>
      </c>
      <c r="L94" s="289">
        <f t="shared" si="27"/>
        <v>28</v>
      </c>
      <c r="M94" s="289">
        <f t="shared" si="27"/>
        <v>28</v>
      </c>
      <c r="N94" s="337"/>
      <c r="O94" s="338"/>
      <c r="P94" s="289">
        <f>SUM(P86:P93)</f>
        <v>347192193.60000002</v>
      </c>
      <c r="Q94" s="339"/>
      <c r="R94" s="340"/>
      <c r="S94" s="1" t="s">
        <v>695</v>
      </c>
      <c r="U94" s="1" t="s">
        <v>692</v>
      </c>
    </row>
    <row r="95" spans="1:22" ht="21" customHeight="1" x14ac:dyDescent="0.3">
      <c r="A95" s="16"/>
      <c r="B95" s="14" t="s">
        <v>57</v>
      </c>
      <c r="C95" s="15" t="s">
        <v>22</v>
      </c>
      <c r="D95" s="26">
        <v>1226.55</v>
      </c>
      <c r="E95" s="47" t="s">
        <v>185</v>
      </c>
      <c r="F95" s="96">
        <f>2%*D95</f>
        <v>24.530999999999999</v>
      </c>
      <c r="G95" s="97">
        <f>4%*D95</f>
        <v>49.061999999999998</v>
      </c>
      <c r="H95" s="96">
        <f t="shared" ref="H95:H96" si="28">SUM(F95:G95)</f>
        <v>73.592999999999989</v>
      </c>
      <c r="I95" s="97">
        <v>0</v>
      </c>
      <c r="J95" s="97"/>
      <c r="K95" s="97">
        <v>0</v>
      </c>
      <c r="L95" s="97">
        <v>5</v>
      </c>
      <c r="M95" s="97">
        <f t="shared" ref="M95:M96" si="29">SUM(I95:L95)</f>
        <v>5</v>
      </c>
      <c r="N95" s="35"/>
      <c r="O95" s="36"/>
      <c r="P95" s="234">
        <f t="shared" ref="P95:P96" si="30">G95*1.036*20%*8500000</f>
        <v>86407994.400000006</v>
      </c>
      <c r="Q95" s="87"/>
      <c r="S95" s="47" t="s">
        <v>185</v>
      </c>
      <c r="V95" s="1" t="s">
        <v>692</v>
      </c>
    </row>
    <row r="96" spans="1:22" ht="21" customHeight="1" x14ac:dyDescent="0.3">
      <c r="A96" s="5"/>
      <c r="B96" s="1" t="s">
        <v>58</v>
      </c>
      <c r="C96" s="99" t="s">
        <v>21</v>
      </c>
      <c r="D96" s="96">
        <v>949.55</v>
      </c>
      <c r="E96" s="47" t="s">
        <v>185</v>
      </c>
      <c r="F96" s="96">
        <f>2%*D96</f>
        <v>18.991</v>
      </c>
      <c r="G96" s="97">
        <f>5%*D96</f>
        <v>47.477499999999999</v>
      </c>
      <c r="H96" s="96">
        <f t="shared" si="28"/>
        <v>66.468500000000006</v>
      </c>
      <c r="I96" s="97">
        <v>0</v>
      </c>
      <c r="J96" s="97"/>
      <c r="K96" s="97">
        <v>0</v>
      </c>
      <c r="L96" s="97">
        <v>5</v>
      </c>
      <c r="M96" s="97">
        <f t="shared" si="29"/>
        <v>5</v>
      </c>
      <c r="N96" s="35"/>
      <c r="O96" s="36"/>
      <c r="P96" s="234">
        <f t="shared" si="30"/>
        <v>83617373</v>
      </c>
      <c r="Q96" s="5"/>
      <c r="S96" s="41"/>
    </row>
    <row r="97" spans="1:21" ht="21" customHeight="1" x14ac:dyDescent="0.3">
      <c r="A97" s="5"/>
      <c r="C97" s="10"/>
      <c r="D97" s="309">
        <f>SUM(D95:D96)</f>
        <v>2176.1</v>
      </c>
      <c r="E97" s="336"/>
      <c r="F97" s="309">
        <f t="shared" ref="F97:M97" si="31">SUM(F95:F96)</f>
        <v>43.521999999999998</v>
      </c>
      <c r="G97" s="309">
        <f t="shared" si="31"/>
        <v>96.539500000000004</v>
      </c>
      <c r="H97" s="309">
        <f t="shared" si="31"/>
        <v>140.0615</v>
      </c>
      <c r="I97" s="309">
        <f t="shared" si="31"/>
        <v>0</v>
      </c>
      <c r="J97" s="309">
        <f t="shared" si="31"/>
        <v>0</v>
      </c>
      <c r="K97" s="309">
        <f t="shared" si="31"/>
        <v>0</v>
      </c>
      <c r="L97" s="309">
        <f t="shared" si="31"/>
        <v>10</v>
      </c>
      <c r="M97" s="309">
        <f t="shared" si="31"/>
        <v>10</v>
      </c>
      <c r="N97" s="93"/>
      <c r="O97" s="51"/>
      <c r="P97" s="309">
        <f>SUM(P95:P96)</f>
        <v>170025367.40000001</v>
      </c>
      <c r="Q97" s="5"/>
      <c r="S97" s="41"/>
    </row>
    <row r="98" spans="1:21" ht="21" customHeight="1" x14ac:dyDescent="0.3">
      <c r="A98" s="5"/>
      <c r="B98" s="1" t="s">
        <v>57</v>
      </c>
      <c r="C98" s="15" t="s">
        <v>22</v>
      </c>
      <c r="D98" s="26">
        <v>1226.55</v>
      </c>
      <c r="E98" s="335" t="s">
        <v>697</v>
      </c>
      <c r="F98" s="96">
        <f>2%*D98</f>
        <v>24.530999999999999</v>
      </c>
      <c r="G98" s="97">
        <f>5%*D98</f>
        <v>61.327500000000001</v>
      </c>
      <c r="H98" s="96">
        <f t="shared" ref="H98:H99" si="32">SUM(F98:G98)</f>
        <v>85.858499999999992</v>
      </c>
      <c r="I98" s="97">
        <v>0</v>
      </c>
      <c r="J98" s="97"/>
      <c r="K98" s="97">
        <v>0</v>
      </c>
      <c r="L98" s="97">
        <v>5</v>
      </c>
      <c r="M98" s="97">
        <f t="shared" ref="M98:M99" si="33">SUM(I98:L98)</f>
        <v>5</v>
      </c>
      <c r="N98" s="35"/>
      <c r="O98" s="36"/>
      <c r="P98" s="234">
        <f t="shared" ref="P98:P99" si="34">G98*1.036*20%*8500000</f>
        <v>108009993.00000001</v>
      </c>
      <c r="Q98" s="5"/>
      <c r="S98" s="41"/>
    </row>
    <row r="99" spans="1:21" ht="21" customHeight="1" x14ac:dyDescent="0.3">
      <c r="A99" s="5"/>
      <c r="B99" s="1" t="s">
        <v>58</v>
      </c>
      <c r="C99" s="15" t="s">
        <v>44</v>
      </c>
      <c r="D99" s="26">
        <v>324.64999999999998</v>
      </c>
      <c r="E99" s="335" t="s">
        <v>697</v>
      </c>
      <c r="F99" s="96">
        <f>2%*D99</f>
        <v>6.4929999999999994</v>
      </c>
      <c r="G99" s="97">
        <f>6%*D99</f>
        <v>19.478999999999999</v>
      </c>
      <c r="H99" s="96">
        <f t="shared" si="32"/>
        <v>25.971999999999998</v>
      </c>
      <c r="I99" s="97">
        <v>0</v>
      </c>
      <c r="J99" s="97"/>
      <c r="K99" s="97">
        <v>0</v>
      </c>
      <c r="L99" s="97">
        <v>5</v>
      </c>
      <c r="M99" s="97">
        <f t="shared" si="33"/>
        <v>5</v>
      </c>
      <c r="N99" s="35"/>
      <c r="O99" s="36"/>
      <c r="P99" s="234">
        <f t="shared" si="34"/>
        <v>34306414.799999997</v>
      </c>
      <c r="Q99" s="5"/>
      <c r="S99" s="41"/>
    </row>
    <row r="100" spans="1:21" ht="21" customHeight="1" x14ac:dyDescent="0.3">
      <c r="A100" s="5"/>
      <c r="C100" s="10"/>
      <c r="D100" s="309">
        <f>SUM(D98:D99)</f>
        <v>1551.1999999999998</v>
      </c>
      <c r="E100" s="336"/>
      <c r="F100" s="309">
        <f t="shared" ref="F100:M100" si="35">SUM(F98:F99)</f>
        <v>31.023999999999997</v>
      </c>
      <c r="G100" s="309">
        <f t="shared" si="35"/>
        <v>80.8065</v>
      </c>
      <c r="H100" s="309">
        <f t="shared" si="35"/>
        <v>111.83049999999999</v>
      </c>
      <c r="I100" s="309">
        <f t="shared" si="35"/>
        <v>0</v>
      </c>
      <c r="J100" s="309">
        <f t="shared" si="35"/>
        <v>0</v>
      </c>
      <c r="K100" s="309">
        <f t="shared" si="35"/>
        <v>0</v>
      </c>
      <c r="L100" s="309">
        <f t="shared" si="35"/>
        <v>10</v>
      </c>
      <c r="M100" s="309">
        <f t="shared" si="35"/>
        <v>10</v>
      </c>
      <c r="N100" s="93"/>
      <c r="O100" s="51"/>
      <c r="P100" s="309">
        <f>SUM(P98:P99)</f>
        <v>142316407.80000001</v>
      </c>
      <c r="Q100" s="5"/>
      <c r="S100" s="41"/>
    </row>
    <row r="101" spans="1:21" ht="21.75" customHeight="1" x14ac:dyDescent="0.3">
      <c r="A101" s="342"/>
      <c r="B101" s="343"/>
      <c r="C101" s="343"/>
      <c r="D101" s="344"/>
      <c r="E101" s="345"/>
      <c r="F101" s="344"/>
      <c r="G101" s="346"/>
      <c r="H101" s="344"/>
      <c r="I101" s="346"/>
      <c r="J101" s="346">
        <f>SUM(J86:J95)</f>
        <v>0</v>
      </c>
      <c r="K101" s="346"/>
      <c r="L101" s="346"/>
      <c r="M101" s="346"/>
      <c r="N101" s="345"/>
      <c r="O101" s="345"/>
      <c r="P101" s="347"/>
      <c r="Q101" s="348"/>
    </row>
    <row r="102" spans="1:21" ht="18.75" customHeight="1" x14ac:dyDescent="0.3">
      <c r="A102" s="63">
        <v>5</v>
      </c>
      <c r="B102" s="64" t="s">
        <v>96</v>
      </c>
      <c r="C102" s="65"/>
      <c r="D102" s="66"/>
      <c r="E102" s="67"/>
      <c r="F102" s="66"/>
      <c r="G102" s="66"/>
      <c r="H102" s="66"/>
      <c r="I102" s="82"/>
      <c r="J102" s="82"/>
      <c r="K102" s="82"/>
      <c r="L102" s="82"/>
      <c r="M102" s="82"/>
      <c r="N102" s="69"/>
      <c r="O102" s="70"/>
      <c r="P102" s="233"/>
      <c r="Q102" s="68"/>
    </row>
    <row r="103" spans="1:21" ht="27" customHeight="1" x14ac:dyDescent="0.3">
      <c r="A103" s="16"/>
      <c r="B103" s="14" t="s">
        <v>57</v>
      </c>
      <c r="C103" s="15" t="s">
        <v>22</v>
      </c>
      <c r="D103" s="26">
        <v>18.600000000000001</v>
      </c>
      <c r="E103" s="49" t="s">
        <v>187</v>
      </c>
      <c r="F103" s="26">
        <f>40%*D103</f>
        <v>7.4400000000000013</v>
      </c>
      <c r="G103" s="26">
        <f>25%*D103</f>
        <v>4.6500000000000004</v>
      </c>
      <c r="H103" s="26">
        <f t="shared" ref="H103:H110" si="36">SUM(F103:G103)</f>
        <v>12.090000000000002</v>
      </c>
      <c r="I103" s="19">
        <v>0</v>
      </c>
      <c r="J103" s="19"/>
      <c r="K103" s="19"/>
      <c r="L103" s="19">
        <v>1</v>
      </c>
      <c r="M103" s="19">
        <f>SUM(I103:L103)</f>
        <v>1</v>
      </c>
      <c r="N103" s="35"/>
      <c r="O103" s="36"/>
      <c r="P103" s="161">
        <f t="shared" ref="P103:P110" si="37">G103*0.486*30%*40000000</f>
        <v>27118800</v>
      </c>
      <c r="Q103" s="16"/>
    </row>
    <row r="104" spans="1:21" ht="27.75" customHeight="1" x14ac:dyDescent="0.3">
      <c r="A104" s="16"/>
      <c r="B104" s="14" t="s">
        <v>58</v>
      </c>
      <c r="C104" s="15" t="s">
        <v>21</v>
      </c>
      <c r="D104" s="26">
        <v>24.61</v>
      </c>
      <c r="E104" s="49" t="s">
        <v>187</v>
      </c>
      <c r="F104" s="26">
        <f>10%*D104</f>
        <v>2.4610000000000003</v>
      </c>
      <c r="G104" s="26">
        <f>20%*D104</f>
        <v>4.9220000000000006</v>
      </c>
      <c r="H104" s="26">
        <f t="shared" si="36"/>
        <v>7.3830000000000009</v>
      </c>
      <c r="I104" s="19">
        <v>0</v>
      </c>
      <c r="J104" s="19"/>
      <c r="K104" s="19"/>
      <c r="L104" s="19">
        <v>1</v>
      </c>
      <c r="M104" s="19">
        <f t="shared" ref="M104:M110" si="38">SUM(I104:L104)</f>
        <v>1</v>
      </c>
      <c r="N104" s="35"/>
      <c r="O104" s="40" t="s">
        <v>50</v>
      </c>
      <c r="P104" s="161">
        <f t="shared" si="37"/>
        <v>28705104</v>
      </c>
      <c r="Q104" s="16"/>
      <c r="S104" s="1" t="s">
        <v>636</v>
      </c>
      <c r="T104" s="1" t="s">
        <v>637</v>
      </c>
      <c r="U104" s="1" t="s">
        <v>638</v>
      </c>
    </row>
    <row r="105" spans="1:21" ht="27.75" customHeight="1" x14ac:dyDescent="0.3">
      <c r="A105" s="16"/>
      <c r="B105" s="14" t="s">
        <v>59</v>
      </c>
      <c r="C105" s="15" t="s">
        <v>43</v>
      </c>
      <c r="D105" s="26">
        <v>28.64</v>
      </c>
      <c r="E105" s="49" t="s">
        <v>187</v>
      </c>
      <c r="F105" s="96">
        <f>10%*D105</f>
        <v>2.8640000000000003</v>
      </c>
      <c r="G105" s="26">
        <f>20%*D105</f>
        <v>5.7280000000000006</v>
      </c>
      <c r="H105" s="26">
        <f t="shared" si="36"/>
        <v>8.5920000000000005</v>
      </c>
      <c r="I105" s="19">
        <v>0</v>
      </c>
      <c r="J105" s="19"/>
      <c r="K105" s="19"/>
      <c r="L105" s="19">
        <v>3</v>
      </c>
      <c r="M105" s="19">
        <f t="shared" si="38"/>
        <v>3</v>
      </c>
      <c r="N105" s="35"/>
      <c r="O105" s="40" t="s">
        <v>137</v>
      </c>
      <c r="P105" s="161">
        <f t="shared" si="37"/>
        <v>33405695.999999996</v>
      </c>
      <c r="Q105" s="16"/>
      <c r="T105" s="47" t="s">
        <v>187</v>
      </c>
    </row>
    <row r="106" spans="1:21" ht="30" customHeight="1" x14ac:dyDescent="0.3">
      <c r="A106" s="16"/>
      <c r="B106" s="14" t="s">
        <v>60</v>
      </c>
      <c r="C106" s="15" t="s">
        <v>44</v>
      </c>
      <c r="D106" s="26">
        <v>39</v>
      </c>
      <c r="E106" s="49" t="s">
        <v>187</v>
      </c>
      <c r="F106" s="26">
        <f>9%*D106</f>
        <v>3.51</v>
      </c>
      <c r="G106" s="26">
        <f>20%*D106</f>
        <v>7.8000000000000007</v>
      </c>
      <c r="H106" s="26">
        <f t="shared" si="36"/>
        <v>11.31</v>
      </c>
      <c r="I106" s="19">
        <v>0</v>
      </c>
      <c r="J106" s="19">
        <v>0</v>
      </c>
      <c r="K106" s="19">
        <v>0</v>
      </c>
      <c r="L106" s="19">
        <v>3</v>
      </c>
      <c r="M106" s="19">
        <f t="shared" si="38"/>
        <v>3</v>
      </c>
      <c r="N106" s="35"/>
      <c r="O106" s="36" t="s">
        <v>145</v>
      </c>
      <c r="P106" s="161">
        <f t="shared" si="37"/>
        <v>45489600</v>
      </c>
      <c r="Q106" s="16"/>
      <c r="T106" s="47" t="s">
        <v>631</v>
      </c>
    </row>
    <row r="107" spans="1:21" ht="30.75" customHeight="1" x14ac:dyDescent="0.3">
      <c r="A107" s="16"/>
      <c r="B107" s="14" t="s">
        <v>61</v>
      </c>
      <c r="C107" s="15" t="s">
        <v>33</v>
      </c>
      <c r="D107" s="26">
        <v>10.9</v>
      </c>
      <c r="E107" s="49" t="s">
        <v>187</v>
      </c>
      <c r="F107" s="26">
        <f>10%*D107</f>
        <v>1.0900000000000001</v>
      </c>
      <c r="G107" s="26">
        <f>15%*D107</f>
        <v>1.635</v>
      </c>
      <c r="H107" s="26">
        <f t="shared" si="36"/>
        <v>2.7250000000000001</v>
      </c>
      <c r="I107" s="19">
        <v>0</v>
      </c>
      <c r="J107" s="19">
        <v>0</v>
      </c>
      <c r="K107" s="19">
        <v>0</v>
      </c>
      <c r="L107" s="19">
        <v>2</v>
      </c>
      <c r="M107" s="19">
        <f t="shared" si="38"/>
        <v>2</v>
      </c>
      <c r="N107" s="35"/>
      <c r="O107" s="40" t="s">
        <v>626</v>
      </c>
      <c r="P107" s="161">
        <f t="shared" si="37"/>
        <v>9535320</v>
      </c>
      <c r="Q107" s="16"/>
    </row>
    <row r="108" spans="1:21" ht="29.25" customHeight="1" x14ac:dyDescent="0.3">
      <c r="A108" s="16"/>
      <c r="B108" s="14" t="s">
        <v>62</v>
      </c>
      <c r="C108" s="15" t="s">
        <v>655</v>
      </c>
      <c r="D108" s="26">
        <v>5</v>
      </c>
      <c r="E108" s="49" t="s">
        <v>187</v>
      </c>
      <c r="F108" s="26">
        <f>8%*D108</f>
        <v>0.4</v>
      </c>
      <c r="G108" s="26">
        <f>15%*D108</f>
        <v>0.75</v>
      </c>
      <c r="H108" s="26">
        <f t="shared" si="36"/>
        <v>1.1499999999999999</v>
      </c>
      <c r="I108" s="19">
        <v>0</v>
      </c>
      <c r="J108" s="19">
        <v>0</v>
      </c>
      <c r="K108" s="19">
        <v>0</v>
      </c>
      <c r="L108" s="19"/>
      <c r="M108" s="19">
        <f t="shared" si="38"/>
        <v>0</v>
      </c>
      <c r="N108" s="35"/>
      <c r="O108" s="36"/>
      <c r="P108" s="161">
        <f t="shared" si="37"/>
        <v>4374000</v>
      </c>
      <c r="Q108" s="16"/>
    </row>
    <row r="109" spans="1:21" ht="32.25" customHeight="1" x14ac:dyDescent="0.3">
      <c r="A109" s="16"/>
      <c r="B109" s="14">
        <v>9</v>
      </c>
      <c r="C109" s="15" t="s">
        <v>30</v>
      </c>
      <c r="D109" s="26">
        <v>12.75</v>
      </c>
      <c r="E109" s="49" t="s">
        <v>187</v>
      </c>
      <c r="F109" s="26">
        <f>10%*D109</f>
        <v>1.2750000000000001</v>
      </c>
      <c r="G109" s="26">
        <f>15%*D109</f>
        <v>1.9124999999999999</v>
      </c>
      <c r="H109" s="26">
        <f t="shared" si="36"/>
        <v>3.1875</v>
      </c>
      <c r="I109" s="19">
        <v>0</v>
      </c>
      <c r="J109" s="19">
        <v>0</v>
      </c>
      <c r="K109" s="19"/>
      <c r="L109" s="19">
        <v>2</v>
      </c>
      <c r="M109" s="19">
        <f t="shared" si="38"/>
        <v>2</v>
      </c>
      <c r="N109" s="35"/>
      <c r="O109" s="36"/>
      <c r="P109" s="161">
        <f t="shared" si="37"/>
        <v>11153700</v>
      </c>
      <c r="Q109" s="16"/>
    </row>
    <row r="110" spans="1:21" ht="28.5" customHeight="1" x14ac:dyDescent="0.3">
      <c r="A110" s="87"/>
      <c r="B110" s="55" t="s">
        <v>64</v>
      </c>
      <c r="C110" s="56" t="s">
        <v>31</v>
      </c>
      <c r="D110" s="57">
        <v>6</v>
      </c>
      <c r="E110" s="58" t="s">
        <v>187</v>
      </c>
      <c r="F110" s="57">
        <f>10%*D110</f>
        <v>0.60000000000000009</v>
      </c>
      <c r="G110" s="57">
        <f>20%*D110</f>
        <v>1.2000000000000002</v>
      </c>
      <c r="H110" s="57">
        <f t="shared" si="36"/>
        <v>1.8000000000000003</v>
      </c>
      <c r="I110" s="79">
        <v>0</v>
      </c>
      <c r="J110" s="79">
        <v>0</v>
      </c>
      <c r="K110" s="79">
        <v>0</v>
      </c>
      <c r="L110" s="79">
        <v>1</v>
      </c>
      <c r="M110" s="79">
        <f t="shared" si="38"/>
        <v>1</v>
      </c>
      <c r="N110" s="80"/>
      <c r="O110" s="81"/>
      <c r="P110" s="171">
        <f t="shared" si="37"/>
        <v>6998400</v>
      </c>
      <c r="Q110" s="87"/>
    </row>
    <row r="111" spans="1:21" ht="23.25" customHeight="1" x14ac:dyDescent="0.3">
      <c r="A111" s="16"/>
      <c r="B111" s="351"/>
      <c r="C111" s="287"/>
      <c r="D111" s="33">
        <f>SUM(D103:D110)</f>
        <v>145.5</v>
      </c>
      <c r="E111" s="294"/>
      <c r="F111" s="33">
        <f t="shared" ref="F111:M111" si="39">SUM(F103:F110)</f>
        <v>19.64</v>
      </c>
      <c r="G111" s="33">
        <f t="shared" si="39"/>
        <v>28.597500000000004</v>
      </c>
      <c r="H111" s="33">
        <f t="shared" si="39"/>
        <v>48.237500000000004</v>
      </c>
      <c r="I111" s="33">
        <f t="shared" si="39"/>
        <v>0</v>
      </c>
      <c r="J111" s="33">
        <f t="shared" si="39"/>
        <v>0</v>
      </c>
      <c r="K111" s="33">
        <f t="shared" si="39"/>
        <v>0</v>
      </c>
      <c r="L111" s="33">
        <f t="shared" si="39"/>
        <v>13</v>
      </c>
      <c r="M111" s="33">
        <f t="shared" si="39"/>
        <v>13</v>
      </c>
      <c r="N111" s="325"/>
      <c r="O111" s="326"/>
      <c r="P111" s="33">
        <f>SUM(P103:P110)</f>
        <v>166780620</v>
      </c>
      <c r="Q111" s="16"/>
    </row>
    <row r="112" spans="1:21" ht="23.25" customHeight="1" x14ac:dyDescent="0.3">
      <c r="A112" s="6"/>
      <c r="B112" s="349" t="s">
        <v>57</v>
      </c>
      <c r="C112" s="10" t="s">
        <v>21</v>
      </c>
      <c r="D112" s="90">
        <v>24.61</v>
      </c>
      <c r="E112" s="91" t="s">
        <v>631</v>
      </c>
      <c r="F112" s="66">
        <f>10%*D112</f>
        <v>2.4610000000000003</v>
      </c>
      <c r="G112" s="66">
        <f>10%*D112</f>
        <v>2.4610000000000003</v>
      </c>
      <c r="H112" s="66">
        <f t="shared" ref="H112:H113" si="40">SUM(F112:G112)</f>
        <v>4.9220000000000006</v>
      </c>
      <c r="I112" s="82">
        <v>0</v>
      </c>
      <c r="J112" s="82">
        <v>0</v>
      </c>
      <c r="K112" s="82"/>
      <c r="L112" s="82">
        <v>2</v>
      </c>
      <c r="M112" s="82">
        <f t="shared" ref="M112:M113" si="41">SUM(I112:L112)</f>
        <v>2</v>
      </c>
      <c r="N112" s="69"/>
      <c r="O112" s="70"/>
      <c r="P112" s="350">
        <f t="shared" ref="P112:P113" si="42">G112*0.486*30%*40000000</f>
        <v>14352552</v>
      </c>
      <c r="Q112" s="6"/>
    </row>
    <row r="113" spans="1:21" ht="23.25" customHeight="1" x14ac:dyDescent="0.3">
      <c r="A113" s="5"/>
      <c r="B113" s="1" t="s">
        <v>58</v>
      </c>
      <c r="C113" s="56" t="s">
        <v>43</v>
      </c>
      <c r="D113" s="57">
        <v>28.64</v>
      </c>
      <c r="E113" s="85" t="s">
        <v>631</v>
      </c>
      <c r="F113" s="57">
        <f>10%*D113</f>
        <v>2.8640000000000003</v>
      </c>
      <c r="G113" s="57">
        <f>12%*D113</f>
        <v>3.4367999999999999</v>
      </c>
      <c r="H113" s="57">
        <f t="shared" si="40"/>
        <v>6.3008000000000006</v>
      </c>
      <c r="I113" s="79">
        <v>0</v>
      </c>
      <c r="J113" s="79">
        <v>0</v>
      </c>
      <c r="K113" s="79">
        <v>0</v>
      </c>
      <c r="L113" s="79">
        <v>1</v>
      </c>
      <c r="M113" s="79">
        <f t="shared" si="41"/>
        <v>1</v>
      </c>
      <c r="N113" s="80"/>
      <c r="O113" s="81"/>
      <c r="P113" s="171">
        <f t="shared" si="42"/>
        <v>20043417.600000001</v>
      </c>
      <c r="Q113" s="5"/>
    </row>
    <row r="114" spans="1:21" ht="23.25" customHeight="1" x14ac:dyDescent="0.3">
      <c r="A114" s="16"/>
      <c r="B114" s="341"/>
      <c r="C114" s="15"/>
      <c r="D114" s="33">
        <f>SUM(D112:D113)</f>
        <v>53.25</v>
      </c>
      <c r="E114" s="294"/>
      <c r="F114" s="33">
        <f t="shared" ref="F114:M114" si="43">SUM(F112:F113)</f>
        <v>5.3250000000000011</v>
      </c>
      <c r="G114" s="33">
        <f t="shared" si="43"/>
        <v>5.8978000000000002</v>
      </c>
      <c r="H114" s="33">
        <f t="shared" si="43"/>
        <v>11.222800000000001</v>
      </c>
      <c r="I114" s="33">
        <f t="shared" si="43"/>
        <v>0</v>
      </c>
      <c r="J114" s="33">
        <f t="shared" si="43"/>
        <v>0</v>
      </c>
      <c r="K114" s="33">
        <f t="shared" si="43"/>
        <v>0</v>
      </c>
      <c r="L114" s="33">
        <f t="shared" si="43"/>
        <v>3</v>
      </c>
      <c r="M114" s="33">
        <f t="shared" si="43"/>
        <v>3</v>
      </c>
      <c r="N114" s="325"/>
      <c r="O114" s="326"/>
      <c r="P114" s="33">
        <f>SUM(P112:P113)</f>
        <v>34395969.600000001</v>
      </c>
      <c r="Q114" s="16"/>
    </row>
    <row r="115" spans="1:21" ht="21" customHeight="1" x14ac:dyDescent="0.3">
      <c r="A115" s="376"/>
      <c r="B115" s="377"/>
      <c r="C115" s="377"/>
      <c r="D115" s="378"/>
      <c r="E115" s="379"/>
      <c r="F115" s="378"/>
      <c r="G115" s="378"/>
      <c r="H115" s="378"/>
      <c r="I115" s="380"/>
      <c r="J115" s="380">
        <f>SUM(J103:J110)</f>
        <v>0</v>
      </c>
      <c r="K115" s="380"/>
      <c r="L115" s="380"/>
      <c r="M115" s="380"/>
      <c r="N115" s="381"/>
      <c r="O115" s="382"/>
      <c r="P115" s="383"/>
      <c r="Q115" s="376"/>
    </row>
    <row r="116" spans="1:21" ht="0.75" customHeight="1" x14ac:dyDescent="0.3">
      <c r="D116" s="273"/>
      <c r="E116" s="41"/>
      <c r="F116" s="273"/>
      <c r="G116" s="273"/>
      <c r="H116" s="273"/>
      <c r="I116" s="274"/>
      <c r="J116" s="274"/>
      <c r="K116" s="274"/>
      <c r="L116" s="274"/>
      <c r="M116" s="274"/>
      <c r="N116" s="41"/>
      <c r="O116" s="41"/>
      <c r="P116" s="275"/>
    </row>
    <row r="117" spans="1:21" ht="19.5" customHeight="1" x14ac:dyDescent="0.3">
      <c r="A117" s="63">
        <v>6</v>
      </c>
      <c r="B117" s="68" t="s">
        <v>116</v>
      </c>
      <c r="C117" s="68"/>
      <c r="D117" s="66"/>
      <c r="E117" s="67"/>
      <c r="F117" s="66"/>
      <c r="G117" s="82"/>
      <c r="H117" s="66"/>
      <c r="I117" s="82"/>
      <c r="J117" s="82"/>
      <c r="K117" s="82"/>
      <c r="L117" s="82"/>
      <c r="M117" s="82"/>
      <c r="N117" s="69"/>
      <c r="O117" s="70"/>
      <c r="P117" s="233"/>
      <c r="Q117" s="68"/>
      <c r="S117" s="1" t="s">
        <v>596</v>
      </c>
    </row>
    <row r="118" spans="1:21" ht="27.75" customHeight="1" x14ac:dyDescent="0.3">
      <c r="A118" s="27"/>
      <c r="B118" s="152" t="s">
        <v>57</v>
      </c>
      <c r="C118" s="99" t="s">
        <v>30</v>
      </c>
      <c r="D118" s="154">
        <v>54.84</v>
      </c>
      <c r="E118" s="101" t="s">
        <v>181</v>
      </c>
      <c r="F118" s="154">
        <f>4%*D118</f>
        <v>2.1936</v>
      </c>
      <c r="G118" s="155">
        <f>5%*D118</f>
        <v>2.7420000000000004</v>
      </c>
      <c r="H118" s="154">
        <f t="shared" ref="H118:H121" si="44">SUM(F118:G118)</f>
        <v>4.9356000000000009</v>
      </c>
      <c r="I118" s="155">
        <v>0</v>
      </c>
      <c r="J118" s="155"/>
      <c r="K118" s="155"/>
      <c r="L118" s="155">
        <v>2</v>
      </c>
      <c r="M118" s="155">
        <f>SUM(I118:L118)</f>
        <v>2</v>
      </c>
      <c r="N118" s="156" t="s">
        <v>86</v>
      </c>
      <c r="O118" s="36" t="s">
        <v>211</v>
      </c>
      <c r="P118" s="236">
        <f t="shared" ref="P118:P124" si="45">G118*0.347*30*21000000</f>
        <v>599428620</v>
      </c>
      <c r="Q118" s="27"/>
      <c r="S118" s="1" t="s">
        <v>597</v>
      </c>
      <c r="T118" s="1" t="s">
        <v>598</v>
      </c>
      <c r="U118" s="100" t="s">
        <v>625</v>
      </c>
    </row>
    <row r="119" spans="1:21" ht="27" customHeight="1" x14ac:dyDescent="0.3">
      <c r="A119" s="16"/>
      <c r="B119" s="14" t="s">
        <v>58</v>
      </c>
      <c r="C119" s="15" t="s">
        <v>44</v>
      </c>
      <c r="D119" s="26">
        <v>84.65</v>
      </c>
      <c r="E119" s="101" t="s">
        <v>181</v>
      </c>
      <c r="F119" s="26">
        <f>8%*D119</f>
        <v>6.7720000000000002</v>
      </c>
      <c r="G119" s="19">
        <f>7%*D119</f>
        <v>5.9255000000000013</v>
      </c>
      <c r="H119" s="26">
        <f t="shared" si="44"/>
        <v>12.697500000000002</v>
      </c>
      <c r="I119" s="19">
        <v>0</v>
      </c>
      <c r="J119" s="19"/>
      <c r="K119" s="19"/>
      <c r="L119" s="19">
        <v>3</v>
      </c>
      <c r="M119" s="19">
        <f t="shared" ref="M119:M120" si="46">SUM(I119:L119)</f>
        <v>3</v>
      </c>
      <c r="N119" s="35"/>
      <c r="O119" s="40"/>
      <c r="P119" s="236">
        <f t="shared" si="45"/>
        <v>1295373555.0000002</v>
      </c>
      <c r="Q119" s="16"/>
      <c r="S119" s="1" t="s">
        <v>599</v>
      </c>
      <c r="T119" s="1" t="s">
        <v>600</v>
      </c>
      <c r="U119" s="248" t="s">
        <v>671</v>
      </c>
    </row>
    <row r="120" spans="1:21" ht="24" customHeight="1" x14ac:dyDescent="0.3">
      <c r="A120" s="16"/>
      <c r="B120" s="14" t="s">
        <v>59</v>
      </c>
      <c r="C120" s="15" t="s">
        <v>33</v>
      </c>
      <c r="D120" s="26">
        <v>14.2</v>
      </c>
      <c r="E120" s="101" t="s">
        <v>181</v>
      </c>
      <c r="F120" s="96">
        <f>8%*D120</f>
        <v>1.1359999999999999</v>
      </c>
      <c r="G120" s="240">
        <f>12%*D120</f>
        <v>1.704</v>
      </c>
      <c r="H120" s="26">
        <f t="shared" si="44"/>
        <v>2.84</v>
      </c>
      <c r="I120" s="19">
        <v>0</v>
      </c>
      <c r="J120" s="19"/>
      <c r="K120" s="19"/>
      <c r="L120" s="19">
        <v>2</v>
      </c>
      <c r="M120" s="19">
        <f t="shared" si="46"/>
        <v>2</v>
      </c>
      <c r="N120" s="35" t="s">
        <v>88</v>
      </c>
      <c r="O120" s="40" t="s">
        <v>274</v>
      </c>
      <c r="P120" s="236">
        <f t="shared" si="45"/>
        <v>372511439.99999994</v>
      </c>
      <c r="Q120" s="16"/>
      <c r="S120" s="1" t="s">
        <v>592</v>
      </c>
    </row>
    <row r="121" spans="1:21" ht="23.25" customHeight="1" x14ac:dyDescent="0.3">
      <c r="A121" s="87"/>
      <c r="B121" s="98" t="s">
        <v>60</v>
      </c>
      <c r="C121" s="99" t="s">
        <v>35</v>
      </c>
      <c r="D121" s="96">
        <v>33.72</v>
      </c>
      <c r="E121" s="101" t="s">
        <v>181</v>
      </c>
      <c r="F121" s="96">
        <f>8%*D121</f>
        <v>2.6976</v>
      </c>
      <c r="G121" s="97">
        <f>6%*D121</f>
        <v>2.0231999999999997</v>
      </c>
      <c r="H121" s="96">
        <f t="shared" si="44"/>
        <v>4.7207999999999997</v>
      </c>
      <c r="I121" s="97">
        <v>0</v>
      </c>
      <c r="J121" s="97"/>
      <c r="K121" s="97">
        <v>0</v>
      </c>
      <c r="L121" s="97">
        <v>3</v>
      </c>
      <c r="M121" s="97">
        <f>SUM(I121:L121)</f>
        <v>3</v>
      </c>
      <c r="N121" s="35"/>
      <c r="O121" s="159"/>
      <c r="P121" s="236">
        <f t="shared" si="45"/>
        <v>442291751.99999994</v>
      </c>
      <c r="Q121" s="87"/>
    </row>
    <row r="122" spans="1:21" ht="23.25" customHeight="1" x14ac:dyDescent="0.3">
      <c r="A122" s="5"/>
      <c r="B122" s="352"/>
      <c r="C122" s="353"/>
      <c r="D122" s="354">
        <f>SUM(D118:D121)</f>
        <v>187.41</v>
      </c>
      <c r="E122" s="355"/>
      <c r="F122" s="356">
        <f t="shared" ref="F122:M122" si="47">SUM(F118:F121)</f>
        <v>12.799199999999999</v>
      </c>
      <c r="G122" s="354">
        <f t="shared" si="47"/>
        <v>12.394700000000002</v>
      </c>
      <c r="H122" s="354">
        <f t="shared" si="47"/>
        <v>25.193900000000003</v>
      </c>
      <c r="I122" s="354">
        <f t="shared" si="47"/>
        <v>0</v>
      </c>
      <c r="J122" s="354">
        <f t="shared" si="47"/>
        <v>0</v>
      </c>
      <c r="K122" s="354">
        <f t="shared" si="47"/>
        <v>0</v>
      </c>
      <c r="L122" s="354">
        <f t="shared" si="47"/>
        <v>10</v>
      </c>
      <c r="M122" s="354">
        <f t="shared" si="47"/>
        <v>10</v>
      </c>
      <c r="N122" s="357"/>
      <c r="O122" s="358"/>
      <c r="P122" s="354">
        <f>SUM(P118:P121)</f>
        <v>2709605367</v>
      </c>
      <c r="Q122" s="5"/>
    </row>
    <row r="123" spans="1:21" ht="23.25" customHeight="1" x14ac:dyDescent="0.3">
      <c r="A123" s="5"/>
      <c r="B123" s="152" t="s">
        <v>57</v>
      </c>
      <c r="C123" s="99" t="s">
        <v>30</v>
      </c>
      <c r="D123" s="154">
        <v>54.84</v>
      </c>
      <c r="E123" s="248" t="s">
        <v>671</v>
      </c>
      <c r="F123" s="154">
        <f>4%*D123</f>
        <v>2.1936</v>
      </c>
      <c r="G123" s="155">
        <f>5%*D123</f>
        <v>2.7420000000000004</v>
      </c>
      <c r="H123" s="154">
        <f t="shared" ref="H123:H124" si="48">SUM(F123:G123)</f>
        <v>4.9356000000000009</v>
      </c>
      <c r="I123" s="155">
        <v>0</v>
      </c>
      <c r="J123" s="155"/>
      <c r="K123" s="155"/>
      <c r="L123" s="155">
        <v>2</v>
      </c>
      <c r="M123" s="155">
        <f>SUM(I123:L123)</f>
        <v>2</v>
      </c>
      <c r="N123" s="357"/>
      <c r="O123" s="358"/>
      <c r="P123" s="236">
        <f t="shared" si="45"/>
        <v>599428620</v>
      </c>
      <c r="Q123" s="5"/>
    </row>
    <row r="124" spans="1:21" ht="23.25" customHeight="1" x14ac:dyDescent="0.3">
      <c r="A124" s="5"/>
      <c r="B124" s="152" t="s">
        <v>58</v>
      </c>
      <c r="C124" s="99" t="s">
        <v>33</v>
      </c>
      <c r="D124" s="96">
        <v>14.2</v>
      </c>
      <c r="E124" s="248" t="s">
        <v>671</v>
      </c>
      <c r="F124" s="26">
        <f>8%*D124</f>
        <v>1.1359999999999999</v>
      </c>
      <c r="G124" s="19">
        <f>7%*D124</f>
        <v>0.99399999999999999</v>
      </c>
      <c r="H124" s="26">
        <f t="shared" si="48"/>
        <v>2.13</v>
      </c>
      <c r="I124" s="19">
        <v>0</v>
      </c>
      <c r="J124" s="19"/>
      <c r="K124" s="19"/>
      <c r="L124" s="19">
        <v>3</v>
      </c>
      <c r="M124" s="19">
        <f t="shared" ref="M124" si="49">SUM(I124:L124)</f>
        <v>3</v>
      </c>
      <c r="N124" s="357"/>
      <c r="O124" s="358"/>
      <c r="P124" s="236">
        <f t="shared" si="45"/>
        <v>217298339.99999997</v>
      </c>
      <c r="Q124" s="5"/>
    </row>
    <row r="125" spans="1:21" ht="23.25" customHeight="1" x14ac:dyDescent="0.3">
      <c r="A125" s="5"/>
      <c r="B125" s="352"/>
      <c r="C125" s="353"/>
      <c r="D125" s="354">
        <f>SUM(D123:D124)</f>
        <v>69.040000000000006</v>
      </c>
      <c r="E125" s="355"/>
      <c r="F125" s="354">
        <f t="shared" ref="F125:M125" si="50">SUM(F123:F124)</f>
        <v>3.3296000000000001</v>
      </c>
      <c r="G125" s="354">
        <f t="shared" si="50"/>
        <v>3.7360000000000007</v>
      </c>
      <c r="H125" s="354">
        <f t="shared" si="50"/>
        <v>7.0656000000000008</v>
      </c>
      <c r="I125" s="354">
        <f t="shared" si="50"/>
        <v>0</v>
      </c>
      <c r="J125" s="354">
        <f t="shared" si="50"/>
        <v>0</v>
      </c>
      <c r="K125" s="354">
        <f t="shared" si="50"/>
        <v>0</v>
      </c>
      <c r="L125" s="354">
        <f t="shared" si="50"/>
        <v>5</v>
      </c>
      <c r="M125" s="354">
        <f t="shared" si="50"/>
        <v>5</v>
      </c>
      <c r="N125" s="357"/>
      <c r="O125" s="358"/>
      <c r="P125" s="354">
        <f>SUM(P123:P124)</f>
        <v>816726960</v>
      </c>
      <c r="Q125" s="5"/>
    </row>
    <row r="126" spans="1:21" ht="23.25" customHeight="1" x14ac:dyDescent="0.3">
      <c r="A126" s="322"/>
      <c r="B126" s="359"/>
      <c r="C126" s="360"/>
      <c r="D126" s="361"/>
      <c r="E126" s="362"/>
      <c r="F126" s="363"/>
      <c r="G126" s="361"/>
      <c r="H126" s="361"/>
      <c r="I126" s="361"/>
      <c r="J126" s="361"/>
      <c r="K126" s="361"/>
      <c r="L126" s="361"/>
      <c r="M126" s="361"/>
      <c r="N126" s="364"/>
      <c r="O126" s="365"/>
      <c r="P126" s="366"/>
      <c r="Q126" s="322"/>
    </row>
    <row r="127" spans="1:21" ht="21" customHeight="1" x14ac:dyDescent="0.3">
      <c r="A127" s="63">
        <v>7</v>
      </c>
      <c r="B127" s="8" t="s">
        <v>117</v>
      </c>
      <c r="C127" s="10"/>
      <c r="D127" s="90"/>
      <c r="E127" s="67"/>
      <c r="F127" s="66"/>
      <c r="G127" s="218"/>
      <c r="H127" s="66"/>
      <c r="I127" s="82"/>
      <c r="J127" s="82"/>
      <c r="K127" s="82"/>
      <c r="L127" s="82"/>
      <c r="M127" s="82"/>
      <c r="N127" s="69"/>
      <c r="O127" s="70"/>
      <c r="P127" s="233"/>
      <c r="Q127" s="68"/>
    </row>
    <row r="128" spans="1:21" ht="24.75" customHeight="1" x14ac:dyDescent="0.3">
      <c r="A128" s="16"/>
      <c r="B128" s="14" t="s">
        <v>57</v>
      </c>
      <c r="C128" s="15" t="s">
        <v>22</v>
      </c>
      <c r="D128" s="26">
        <v>398.95</v>
      </c>
      <c r="E128" s="101" t="s">
        <v>203</v>
      </c>
      <c r="F128" s="96">
        <f>3%*D128</f>
        <v>11.968499999999999</v>
      </c>
      <c r="G128" s="223">
        <f>15%*D128</f>
        <v>59.842499999999994</v>
      </c>
      <c r="H128" s="96">
        <f t="shared" ref="H128:H132" si="51">SUM(F128:G128)</f>
        <v>71.810999999999993</v>
      </c>
      <c r="I128" s="97">
        <v>0</v>
      </c>
      <c r="J128" s="97"/>
      <c r="K128" s="97"/>
      <c r="L128" s="97">
        <v>7</v>
      </c>
      <c r="M128" s="97">
        <f t="shared" ref="M128:M132" si="52">SUM(I128:L128)</f>
        <v>7</v>
      </c>
      <c r="N128" s="35"/>
      <c r="O128" s="40" t="s">
        <v>211</v>
      </c>
      <c r="P128" s="238">
        <f t="shared" ref="P128:P132" si="53">G128*0.3*30%*40000000</f>
        <v>215433000</v>
      </c>
      <c r="Q128" s="16"/>
      <c r="S128" s="100" t="s">
        <v>203</v>
      </c>
    </row>
    <row r="129" spans="1:19" ht="32.25" customHeight="1" x14ac:dyDescent="0.3">
      <c r="A129" s="16"/>
      <c r="B129" s="98" t="s">
        <v>58</v>
      </c>
      <c r="C129" s="99" t="s">
        <v>42</v>
      </c>
      <c r="D129" s="26">
        <v>357.5</v>
      </c>
      <c r="E129" s="101" t="s">
        <v>203</v>
      </c>
      <c r="F129" s="96">
        <f>2%*D129</f>
        <v>7.15</v>
      </c>
      <c r="G129" s="97">
        <f>5%*D129</f>
        <v>17.875</v>
      </c>
      <c r="H129" s="96">
        <f t="shared" si="51"/>
        <v>25.024999999999999</v>
      </c>
      <c r="I129" s="97">
        <v>0</v>
      </c>
      <c r="J129" s="97"/>
      <c r="K129" s="97"/>
      <c r="L129" s="97">
        <v>8</v>
      </c>
      <c r="M129" s="97">
        <f t="shared" si="52"/>
        <v>8</v>
      </c>
      <c r="N129" s="35"/>
      <c r="O129" s="40" t="s">
        <v>137</v>
      </c>
      <c r="P129" s="238">
        <f t="shared" si="53"/>
        <v>64349999.999999993</v>
      </c>
      <c r="Q129" s="16"/>
      <c r="S129" s="1" t="s">
        <v>593</v>
      </c>
    </row>
    <row r="130" spans="1:19" ht="27.75" customHeight="1" x14ac:dyDescent="0.3">
      <c r="A130" s="16"/>
      <c r="B130" s="14" t="s">
        <v>59</v>
      </c>
      <c r="C130" s="15" t="s">
        <v>21</v>
      </c>
      <c r="D130" s="18">
        <v>258.95</v>
      </c>
      <c r="E130" s="101" t="s">
        <v>203</v>
      </c>
      <c r="F130" s="225">
        <f>4%*D130</f>
        <v>10.358000000000001</v>
      </c>
      <c r="G130" s="225">
        <f>4%*D130</f>
        <v>10.358000000000001</v>
      </c>
      <c r="H130" s="96">
        <f t="shared" si="51"/>
        <v>20.716000000000001</v>
      </c>
      <c r="I130" s="97">
        <v>0</v>
      </c>
      <c r="J130" s="97"/>
      <c r="K130" s="97"/>
      <c r="L130" s="97">
        <v>9</v>
      </c>
      <c r="M130" s="97">
        <f t="shared" si="52"/>
        <v>9</v>
      </c>
      <c r="N130" s="35"/>
      <c r="O130" s="36"/>
      <c r="P130" s="238">
        <f t="shared" si="53"/>
        <v>37288800</v>
      </c>
      <c r="Q130" s="16"/>
      <c r="S130" s="1" t="s">
        <v>595</v>
      </c>
    </row>
    <row r="131" spans="1:19" ht="24" customHeight="1" x14ac:dyDescent="0.3">
      <c r="A131" s="16"/>
      <c r="B131" s="14" t="s">
        <v>60</v>
      </c>
      <c r="C131" s="15" t="s">
        <v>43</v>
      </c>
      <c r="D131" s="26">
        <v>473.8</v>
      </c>
      <c r="E131" s="101" t="s">
        <v>221</v>
      </c>
      <c r="F131" s="96">
        <f>5%*D131</f>
        <v>23.69</v>
      </c>
      <c r="G131" s="97">
        <f>11%*D131</f>
        <v>52.118000000000002</v>
      </c>
      <c r="H131" s="96">
        <f t="shared" si="51"/>
        <v>75.808000000000007</v>
      </c>
      <c r="I131" s="97">
        <v>0</v>
      </c>
      <c r="J131" s="97"/>
      <c r="K131" s="97"/>
      <c r="L131" s="97">
        <v>6</v>
      </c>
      <c r="M131" s="97">
        <f t="shared" si="52"/>
        <v>6</v>
      </c>
      <c r="N131" s="35"/>
      <c r="O131" s="36"/>
      <c r="P131" s="238">
        <f t="shared" si="53"/>
        <v>187624800</v>
      </c>
      <c r="Q131" s="16"/>
    </row>
    <row r="132" spans="1:19" ht="29.25" customHeight="1" x14ac:dyDescent="0.3">
      <c r="A132" s="16"/>
      <c r="B132" s="14" t="s">
        <v>61</v>
      </c>
      <c r="C132" s="15" t="s">
        <v>44</v>
      </c>
      <c r="D132" s="26">
        <v>159.94999999999999</v>
      </c>
      <c r="E132" s="101" t="s">
        <v>203</v>
      </c>
      <c r="F132" s="26">
        <f>2%*D132</f>
        <v>3.1989999999999998</v>
      </c>
      <c r="G132" s="220">
        <f>5%*D132</f>
        <v>7.9974999999999996</v>
      </c>
      <c r="H132" s="26">
        <f t="shared" si="51"/>
        <v>11.1965</v>
      </c>
      <c r="I132" s="19">
        <v>0</v>
      </c>
      <c r="J132" s="19"/>
      <c r="K132" s="19"/>
      <c r="L132" s="19">
        <v>9</v>
      </c>
      <c r="M132" s="19">
        <f t="shared" si="52"/>
        <v>9</v>
      </c>
      <c r="N132" s="35"/>
      <c r="O132" s="36"/>
      <c r="P132" s="238">
        <f t="shared" si="53"/>
        <v>28790999.999999996</v>
      </c>
      <c r="Q132" s="16"/>
      <c r="S132" s="100" t="s">
        <v>184</v>
      </c>
    </row>
    <row r="133" spans="1:19" ht="29.25" customHeight="1" x14ac:dyDescent="0.3">
      <c r="A133" s="368"/>
      <c r="B133" s="369"/>
      <c r="C133" s="370"/>
      <c r="D133" s="309">
        <f>SUM(D128:D132)</f>
        <v>1649.15</v>
      </c>
      <c r="E133" s="371"/>
      <c r="F133" s="309">
        <f t="shared" ref="F133:M133" si="54">SUM(F128:F132)</f>
        <v>56.365499999999997</v>
      </c>
      <c r="G133" s="309">
        <f t="shared" si="54"/>
        <v>148.191</v>
      </c>
      <c r="H133" s="309">
        <f t="shared" si="54"/>
        <v>204.55650000000003</v>
      </c>
      <c r="I133" s="309">
        <f t="shared" si="54"/>
        <v>0</v>
      </c>
      <c r="J133" s="309">
        <f t="shared" si="54"/>
        <v>0</v>
      </c>
      <c r="K133" s="309">
        <f t="shared" si="54"/>
        <v>0</v>
      </c>
      <c r="L133" s="309">
        <f t="shared" si="54"/>
        <v>39</v>
      </c>
      <c r="M133" s="309">
        <f t="shared" si="54"/>
        <v>39</v>
      </c>
      <c r="N133" s="372"/>
      <c r="O133" s="373"/>
      <c r="P133" s="309">
        <f>SUM(P128:P132)</f>
        <v>533487600</v>
      </c>
      <c r="Q133" s="368"/>
      <c r="S133" s="367"/>
    </row>
    <row r="134" spans="1:19" ht="29.25" customHeight="1" x14ac:dyDescent="0.3">
      <c r="A134" s="5"/>
      <c r="B134" s="14" t="s">
        <v>57</v>
      </c>
      <c r="C134" s="15" t="s">
        <v>22</v>
      </c>
      <c r="D134" s="26">
        <v>398.95</v>
      </c>
      <c r="E134" s="100" t="s">
        <v>184</v>
      </c>
      <c r="F134" s="225">
        <f>4%*D134</f>
        <v>15.958</v>
      </c>
      <c r="G134" s="225">
        <f>8%*D134</f>
        <v>31.916</v>
      </c>
      <c r="H134" s="96">
        <f t="shared" ref="H134:H135" si="55">SUM(F134:G134)</f>
        <v>47.874000000000002</v>
      </c>
      <c r="I134" s="97">
        <v>0</v>
      </c>
      <c r="J134" s="97"/>
      <c r="K134" s="97"/>
      <c r="L134" s="97">
        <v>9</v>
      </c>
      <c r="M134" s="97">
        <f t="shared" ref="M134:M135" si="56">SUM(I134:L134)</f>
        <v>9</v>
      </c>
      <c r="N134" s="35"/>
      <c r="O134" s="36"/>
      <c r="P134" s="238">
        <f t="shared" ref="P134:P135" si="57">G134*0.3*30%*40000000</f>
        <v>114897599.99999999</v>
      </c>
      <c r="Q134" s="5"/>
      <c r="S134" s="367"/>
    </row>
    <row r="135" spans="1:19" ht="29.25" customHeight="1" x14ac:dyDescent="0.3">
      <c r="A135" s="5"/>
      <c r="B135" s="98" t="s">
        <v>58</v>
      </c>
      <c r="C135" s="99" t="s">
        <v>42</v>
      </c>
      <c r="D135" s="96">
        <v>357.5</v>
      </c>
      <c r="E135" s="100" t="s">
        <v>184</v>
      </c>
      <c r="F135" s="96">
        <f>5%*D135</f>
        <v>17.875</v>
      </c>
      <c r="G135" s="97">
        <f>8%*D135</f>
        <v>28.6</v>
      </c>
      <c r="H135" s="96">
        <f t="shared" si="55"/>
        <v>46.475000000000001</v>
      </c>
      <c r="I135" s="97">
        <v>0</v>
      </c>
      <c r="J135" s="97"/>
      <c r="K135" s="97"/>
      <c r="L135" s="97">
        <v>6</v>
      </c>
      <c r="M135" s="97">
        <f t="shared" si="56"/>
        <v>6</v>
      </c>
      <c r="N135" s="35"/>
      <c r="O135" s="36"/>
      <c r="P135" s="238">
        <f t="shared" si="57"/>
        <v>102960000</v>
      </c>
      <c r="Q135" s="5"/>
      <c r="S135" s="367"/>
    </row>
    <row r="136" spans="1:19" ht="29.25" customHeight="1" x14ac:dyDescent="0.3">
      <c r="A136" s="5"/>
      <c r="C136" s="10"/>
      <c r="D136" s="309">
        <f>SUM(D134:D135)</f>
        <v>756.45</v>
      </c>
      <c r="E136" s="336"/>
      <c r="F136" s="309">
        <f t="shared" ref="F136:M136" si="58">SUM(F134:F135)</f>
        <v>33.832999999999998</v>
      </c>
      <c r="G136" s="309">
        <f t="shared" si="58"/>
        <v>60.516000000000005</v>
      </c>
      <c r="H136" s="309">
        <f t="shared" si="58"/>
        <v>94.349000000000004</v>
      </c>
      <c r="I136" s="309">
        <f t="shared" si="58"/>
        <v>0</v>
      </c>
      <c r="J136" s="309">
        <f t="shared" si="58"/>
        <v>0</v>
      </c>
      <c r="K136" s="309">
        <f t="shared" si="58"/>
        <v>0</v>
      </c>
      <c r="L136" s="309">
        <f t="shared" si="58"/>
        <v>15</v>
      </c>
      <c r="M136" s="309">
        <f t="shared" si="58"/>
        <v>15</v>
      </c>
      <c r="N136" s="93"/>
      <c r="O136" s="51"/>
      <c r="P136" s="309">
        <f>SUM(P134:P135)</f>
        <v>217857600</v>
      </c>
      <c r="Q136" s="5"/>
      <c r="S136" s="367"/>
    </row>
    <row r="137" spans="1:19" ht="22.5" customHeight="1" x14ac:dyDescent="0.3">
      <c r="A137" s="108"/>
      <c r="B137" s="116"/>
      <c r="C137" s="116"/>
      <c r="D137" s="109"/>
      <c r="E137" s="110"/>
      <c r="F137" s="109"/>
      <c r="G137" s="111"/>
      <c r="H137" s="109"/>
      <c r="I137" s="111"/>
      <c r="J137" s="111">
        <f>SUM(J119:J132)</f>
        <v>0</v>
      </c>
      <c r="K137" s="111"/>
      <c r="L137" s="111"/>
      <c r="M137" s="111"/>
      <c r="N137" s="115"/>
      <c r="O137" s="113"/>
      <c r="P137" s="374"/>
      <c r="Q137" s="108"/>
    </row>
    <row r="138" spans="1:19" ht="4.5" customHeight="1" x14ac:dyDescent="0.3">
      <c r="F138" s="2">
        <f>SUM(F128:F137)</f>
        <v>180.39699999999999</v>
      </c>
      <c r="G138" s="2"/>
      <c r="H138" s="2"/>
      <c r="I138" s="2"/>
      <c r="J138" s="2"/>
      <c r="K138" s="2"/>
      <c r="L138" s="2"/>
      <c r="M138" s="2"/>
    </row>
    <row r="139" spans="1:19" ht="4.5" customHeight="1" x14ac:dyDescent="0.3">
      <c r="F139" s="2"/>
      <c r="G139" s="2"/>
      <c r="H139" s="2"/>
      <c r="I139" s="2"/>
      <c r="J139" s="2"/>
      <c r="K139" s="2"/>
      <c r="L139" s="2"/>
      <c r="M139" s="2"/>
    </row>
    <row r="140" spans="1:19" ht="4.5" customHeight="1" x14ac:dyDescent="0.3">
      <c r="F140" s="2"/>
      <c r="G140" s="2"/>
      <c r="H140" s="2"/>
      <c r="I140" s="2"/>
      <c r="J140" s="2"/>
      <c r="K140" s="2"/>
      <c r="L140" s="2"/>
      <c r="M140" s="2"/>
    </row>
    <row r="141" spans="1:19" ht="16.5" customHeight="1" x14ac:dyDescent="0.3">
      <c r="F141" s="2"/>
      <c r="G141" s="2"/>
      <c r="H141" s="2"/>
      <c r="I141" s="2"/>
      <c r="J141" s="2" t="s">
        <v>699</v>
      </c>
      <c r="K141" s="2"/>
      <c r="L141" s="2"/>
      <c r="M141" s="2"/>
    </row>
    <row r="142" spans="1:19" ht="12" customHeight="1" x14ac:dyDescent="0.3">
      <c r="A142" s="395" t="s">
        <v>80</v>
      </c>
      <c r="B142" s="395"/>
      <c r="C142" s="395"/>
      <c r="D142" s="395"/>
    </row>
    <row r="143" spans="1:19" x14ac:dyDescent="0.3">
      <c r="A143" s="395" t="s">
        <v>81</v>
      </c>
      <c r="B143" s="395"/>
      <c r="C143" s="395"/>
      <c r="D143" s="395"/>
      <c r="J143" s="1" t="s">
        <v>85</v>
      </c>
    </row>
    <row r="144" spans="1:19" x14ac:dyDescent="0.3">
      <c r="A144" s="395" t="s">
        <v>82</v>
      </c>
      <c r="B144" s="395"/>
      <c r="C144" s="395"/>
      <c r="D144" s="395"/>
      <c r="J144" s="3" t="s">
        <v>86</v>
      </c>
      <c r="K144" s="1" t="s">
        <v>175</v>
      </c>
      <c r="O144" s="1" t="s">
        <v>90</v>
      </c>
    </row>
    <row r="145" spans="1:15" x14ac:dyDescent="0.3">
      <c r="A145" s="395" t="s">
        <v>83</v>
      </c>
      <c r="B145" s="395"/>
      <c r="C145" s="395"/>
      <c r="D145" s="395"/>
      <c r="K145" s="1" t="s">
        <v>651</v>
      </c>
    </row>
    <row r="146" spans="1:15" ht="9.75" customHeight="1" x14ac:dyDescent="0.3"/>
    <row r="147" spans="1:15" ht="14.25" customHeight="1" x14ac:dyDescent="0.3">
      <c r="J147" s="3" t="s">
        <v>88</v>
      </c>
      <c r="K147" s="1" t="s">
        <v>87</v>
      </c>
      <c r="O147" s="1" t="s">
        <v>90</v>
      </c>
    </row>
    <row r="148" spans="1:15" x14ac:dyDescent="0.3">
      <c r="K148" s="1" t="s">
        <v>91</v>
      </c>
    </row>
    <row r="149" spans="1:15" ht="13.5" customHeight="1" x14ac:dyDescent="0.3">
      <c r="A149" s="398" t="s">
        <v>175</v>
      </c>
      <c r="B149" s="398"/>
      <c r="C149" s="398"/>
      <c r="D149" s="398"/>
    </row>
    <row r="150" spans="1:15" x14ac:dyDescent="0.3">
      <c r="A150" s="395" t="s">
        <v>190</v>
      </c>
      <c r="B150" s="395"/>
      <c r="C150" s="395"/>
      <c r="D150" s="395"/>
      <c r="J150" s="1" t="s">
        <v>254</v>
      </c>
      <c r="K150" s="1" t="s">
        <v>89</v>
      </c>
      <c r="O150" s="1" t="s">
        <v>90</v>
      </c>
    </row>
    <row r="151" spans="1:15" x14ac:dyDescent="0.3">
      <c r="K151" s="1" t="s">
        <v>92</v>
      </c>
    </row>
    <row r="152" spans="1:15" ht="8.25" customHeight="1" x14ac:dyDescent="0.3"/>
    <row r="153" spans="1:15" x14ac:dyDescent="0.3">
      <c r="J153" s="241" t="s">
        <v>265</v>
      </c>
      <c r="K153" s="1" t="s">
        <v>652</v>
      </c>
      <c r="O153" s="1" t="s">
        <v>90</v>
      </c>
    </row>
    <row r="154" spans="1:15" ht="14.25" customHeight="1" x14ac:dyDescent="0.3">
      <c r="J154" s="241"/>
      <c r="K154" s="1" t="s">
        <v>658</v>
      </c>
    </row>
    <row r="155" spans="1:15" ht="5.25" customHeight="1" x14ac:dyDescent="0.3">
      <c r="J155" s="241"/>
    </row>
    <row r="156" spans="1:15" x14ac:dyDescent="0.3">
      <c r="J156" s="241" t="s">
        <v>650</v>
      </c>
      <c r="K156" s="1" t="s">
        <v>255</v>
      </c>
      <c r="O156" s="1" t="s">
        <v>90</v>
      </c>
    </row>
    <row r="157" spans="1:15" x14ac:dyDescent="0.3">
      <c r="K157" s="1" t="s">
        <v>654</v>
      </c>
    </row>
  </sheetData>
  <mergeCells count="22">
    <mergeCell ref="A1:Q1"/>
    <mergeCell ref="A2:Q2"/>
    <mergeCell ref="A6:A7"/>
    <mergeCell ref="B6:C6"/>
    <mergeCell ref="D6:D7"/>
    <mergeCell ref="E6:E7"/>
    <mergeCell ref="F6:H6"/>
    <mergeCell ref="I6:M6"/>
    <mergeCell ref="N6:O7"/>
    <mergeCell ref="P6:P7"/>
    <mergeCell ref="A150:D150"/>
    <mergeCell ref="Q6:Q7"/>
    <mergeCell ref="B7:C7"/>
    <mergeCell ref="O32:O37"/>
    <mergeCell ref="O56:O59"/>
    <mergeCell ref="O61:O71"/>
    <mergeCell ref="O73:O78"/>
    <mergeCell ref="A142:D142"/>
    <mergeCell ref="A143:D143"/>
    <mergeCell ref="A144:D144"/>
    <mergeCell ref="A145:D145"/>
    <mergeCell ref="A149:D149"/>
  </mergeCells>
  <pageMargins left="0.36" right="0.70866141732283472" top="0.47" bottom="0.74803149606299213" header="0.31496062992125984" footer="0.31496062992125984"/>
  <pageSetup paperSize="5" scale="90"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50</vt:i4>
      </vt:variant>
    </vt:vector>
  </HeadingPairs>
  <TitlesOfParts>
    <vt:vector size="102" baseType="lpstr">
      <vt:lpstr>BLANGKO LUASAN</vt:lpstr>
      <vt:lpstr>Jan</vt:lpstr>
      <vt:lpstr>Peb</vt:lpstr>
      <vt:lpstr>Mar</vt:lpstr>
      <vt:lpstr>April</vt:lpstr>
      <vt:lpstr>Mei</vt:lpstr>
      <vt:lpstr>Juni 18</vt:lpstr>
      <vt:lpstr>JULI 18</vt:lpstr>
      <vt:lpstr>AGUST 18</vt:lpstr>
      <vt:lpstr>SEPT 18</vt:lpstr>
      <vt:lpstr>okt</vt:lpstr>
      <vt:lpstr>Nop 18</vt:lpstr>
      <vt:lpstr>Des 18 </vt:lpstr>
      <vt:lpstr>Luasan</vt:lpstr>
      <vt:lpstr>JAN 19</vt:lpstr>
      <vt:lpstr>PEB 19</vt:lpstr>
      <vt:lpstr>MART 19</vt:lpstr>
      <vt:lpstr>APRIL19</vt:lpstr>
      <vt:lpstr>MEI 19</vt:lpstr>
      <vt:lpstr>JUNI 19</vt:lpstr>
      <vt:lpstr>JULI </vt:lpstr>
      <vt:lpstr>AGUST</vt:lpstr>
      <vt:lpstr>SEP 19</vt:lpstr>
      <vt:lpstr>OKT 19</vt:lpstr>
      <vt:lpstr>NOP 19</vt:lpstr>
      <vt:lpstr>Des19</vt:lpstr>
      <vt:lpstr>Jan2020</vt:lpstr>
      <vt:lpstr>Feb 2020</vt:lpstr>
      <vt:lpstr>Mar 2020</vt:lpstr>
      <vt:lpstr>APRIL 2020</vt:lpstr>
      <vt:lpstr>MEI 2020</vt:lpstr>
      <vt:lpstr>JUNI 2020</vt:lpstr>
      <vt:lpstr>SK POPT 20</vt:lpstr>
      <vt:lpstr>JULI 2020</vt:lpstr>
      <vt:lpstr>AGUST 20</vt:lpstr>
      <vt:lpstr>Sheet2</vt:lpstr>
      <vt:lpstr>SEPT20</vt:lpstr>
      <vt:lpstr>OKT20</vt:lpstr>
      <vt:lpstr>NOP20</vt:lpstr>
      <vt:lpstr>Des 2020</vt:lpstr>
      <vt:lpstr>Jan 21</vt:lpstr>
      <vt:lpstr>Peb21</vt:lpstr>
      <vt:lpstr>Mar 21</vt:lpstr>
      <vt:lpstr>April 21</vt:lpstr>
      <vt:lpstr>Mei 21</vt:lpstr>
      <vt:lpstr>JUNI 21</vt:lpstr>
      <vt:lpstr>Juli</vt:lpstr>
      <vt:lpstr>agustus 21</vt:lpstr>
      <vt:lpstr>Sep 21</vt:lpstr>
      <vt:lpstr>OKT 21</vt:lpstr>
      <vt:lpstr>NOP 21</vt:lpstr>
      <vt:lpstr>Des 21</vt:lpstr>
      <vt:lpstr>AGUST!Print_Titles</vt:lpstr>
      <vt:lpstr>'AGUST 18'!Print_Titles</vt:lpstr>
      <vt:lpstr>'AGUST 20'!Print_Titles</vt:lpstr>
      <vt:lpstr>'agustus 21'!Print_Titles</vt:lpstr>
      <vt:lpstr>April!Print_Titles</vt:lpstr>
      <vt:lpstr>'APRIL 2020'!Print_Titles</vt:lpstr>
      <vt:lpstr>'April 21'!Print_Titles</vt:lpstr>
      <vt:lpstr>APRIL19!Print_Titles</vt:lpstr>
      <vt:lpstr>'BLANGKO LUASAN'!Print_Titles</vt:lpstr>
      <vt:lpstr>'Des 18 '!Print_Titles</vt:lpstr>
      <vt:lpstr>'Des 2020'!Print_Titles</vt:lpstr>
      <vt:lpstr>'Des 21'!Print_Titles</vt:lpstr>
      <vt:lpstr>'Des19'!Print_Titles</vt:lpstr>
      <vt:lpstr>'Feb 2020'!Print_Titles</vt:lpstr>
      <vt:lpstr>Jan!Print_Titles</vt:lpstr>
      <vt:lpstr>'JAN 19'!Print_Titles</vt:lpstr>
      <vt:lpstr>'Jan 21'!Print_Titles</vt:lpstr>
      <vt:lpstr>'Jan2020'!Print_Titles</vt:lpstr>
      <vt:lpstr>Juli!Print_Titles</vt:lpstr>
      <vt:lpstr>'JULI '!Print_Titles</vt:lpstr>
      <vt:lpstr>'JULI 18'!Print_Titles</vt:lpstr>
      <vt:lpstr>'JULI 2020'!Print_Titles</vt:lpstr>
      <vt:lpstr>'Juni 18'!Print_Titles</vt:lpstr>
      <vt:lpstr>'JUNI 19'!Print_Titles</vt:lpstr>
      <vt:lpstr>'JUNI 2020'!Print_Titles</vt:lpstr>
      <vt:lpstr>'JUNI 21'!Print_Titles</vt:lpstr>
      <vt:lpstr>Luasan!Print_Titles</vt:lpstr>
      <vt:lpstr>Mar!Print_Titles</vt:lpstr>
      <vt:lpstr>'Mar 2020'!Print_Titles</vt:lpstr>
      <vt:lpstr>'Mar 21'!Print_Titles</vt:lpstr>
      <vt:lpstr>'MART 19'!Print_Titles</vt:lpstr>
      <vt:lpstr>Mei!Print_Titles</vt:lpstr>
      <vt:lpstr>'MEI 19'!Print_Titles</vt:lpstr>
      <vt:lpstr>'MEI 2020'!Print_Titles</vt:lpstr>
      <vt:lpstr>'Mei 21'!Print_Titles</vt:lpstr>
      <vt:lpstr>'Nop 18'!Print_Titles</vt:lpstr>
      <vt:lpstr>'NOP 19'!Print_Titles</vt:lpstr>
      <vt:lpstr>'NOP 21'!Print_Titles</vt:lpstr>
      <vt:lpstr>'NOP20'!Print_Titles</vt:lpstr>
      <vt:lpstr>okt!Print_Titles</vt:lpstr>
      <vt:lpstr>'OKT 19'!Print_Titles</vt:lpstr>
      <vt:lpstr>'OKT 21'!Print_Titles</vt:lpstr>
      <vt:lpstr>'OKT20'!Print_Titles</vt:lpstr>
      <vt:lpstr>Peb!Print_Titles</vt:lpstr>
      <vt:lpstr>'PEB 19'!Print_Titles</vt:lpstr>
      <vt:lpstr>'Peb21'!Print_Titles</vt:lpstr>
      <vt:lpstr>'SEP 19'!Print_Titles</vt:lpstr>
      <vt:lpstr>'Sep 21'!Print_Titles</vt:lpstr>
      <vt:lpstr>'SEPT 18'!Print_Titles</vt:lpstr>
      <vt:lpstr>SEPT20!Print_Titles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PC</dc:creator>
  <cp:lastModifiedBy>Yohanes Ary</cp:lastModifiedBy>
  <cp:lastPrinted>2023-06-06T07:00:05Z</cp:lastPrinted>
  <dcterms:created xsi:type="dcterms:W3CDTF">2018-05-30T06:40:32Z</dcterms:created>
  <dcterms:modified xsi:type="dcterms:W3CDTF">2023-10-01T07:10:06Z</dcterms:modified>
</cp:coreProperties>
</file>