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ATA KERJA CPNS\2023\PERKEMBANGAN KOPERASI DAN UMKM\UMKM\2022\TRIWULAN 4\"/>
    </mc:Choice>
  </mc:AlternateContent>
  <xr:revisionPtr revIDLastSave="0" documentId="13_ncr:1_{AFA5EB7D-44FF-4156-9651-6E54F1FFCCC1}" xr6:coauthVersionLast="47" xr6:coauthVersionMax="47" xr10:uidLastSave="{00000000-0000-0000-0000-000000000000}"/>
  <bookViews>
    <workbookView xWindow="-120" yWindow="-120" windowWidth="20730" windowHeight="11040" tabRatio="1000" xr2:uid="{00000000-000D-0000-FFFF-FFFF00000000}"/>
  </bookViews>
  <sheets>
    <sheet name="Perkembangan dan Grafik" sheetId="8" r:id="rId1"/>
    <sheet name="Sheet1" sheetId="6" r:id="rId2"/>
    <sheet name="Data IKK Outcome" sheetId="5" r:id="rId3"/>
  </sheets>
  <definedNames>
    <definedName name="_xlnm.Print_Area" localSheetId="1">Sheet1!$A$4:$E$12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8" l="1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M13" i="8" l="1"/>
  <c r="M12" i="8"/>
  <c r="E68" i="8"/>
  <c r="F68" i="8" s="1"/>
  <c r="J68" i="8" s="1"/>
  <c r="K68" i="8" s="1"/>
  <c r="L68" i="8" s="1"/>
  <c r="M68" i="8" s="1"/>
  <c r="F65" i="8"/>
  <c r="J65" i="8" s="1"/>
  <c r="K65" i="8" s="1"/>
  <c r="L65" i="8" s="1"/>
  <c r="M65" i="8" s="1"/>
  <c r="F61" i="8"/>
  <c r="J61" i="8" s="1"/>
  <c r="F59" i="8"/>
  <c r="F58" i="8"/>
  <c r="J58" i="8" s="1"/>
  <c r="E62" i="8"/>
  <c r="F67" i="8"/>
  <c r="J67" i="8" s="1"/>
  <c r="K67" i="8" s="1"/>
  <c r="F66" i="8"/>
  <c r="F62" i="8"/>
  <c r="J62" i="8" s="1"/>
  <c r="L66" i="8" l="1"/>
  <c r="M66" i="8" s="1"/>
  <c r="L64" i="8"/>
  <c r="M64" i="8" s="1"/>
  <c r="L67" i="8"/>
  <c r="M67" i="8" s="1"/>
  <c r="L22" i="8" l="1"/>
  <c r="M22" i="8" s="1"/>
  <c r="K59" i="8" l="1"/>
  <c r="L59" i="8" s="1"/>
  <c r="M59" i="8" s="1"/>
  <c r="K61" i="8"/>
  <c r="L61" i="8" s="1"/>
  <c r="M61" i="8" s="1"/>
  <c r="L28" i="8"/>
  <c r="M28" i="8" s="1"/>
  <c r="L26" i="8"/>
  <c r="M26" i="8" s="1"/>
  <c r="L25" i="8"/>
  <c r="M25" i="8" s="1"/>
  <c r="L23" i="8"/>
  <c r="M23" i="8" s="1"/>
  <c r="K55" i="8" l="1"/>
  <c r="L55" i="8" s="1"/>
  <c r="M55" i="8" s="1"/>
  <c r="K58" i="8"/>
  <c r="L58" i="8" s="1"/>
  <c r="M58" i="8" s="1"/>
  <c r="K54" i="8"/>
  <c r="L54" i="8" s="1"/>
  <c r="M54" i="8" s="1"/>
  <c r="K53" i="8"/>
  <c r="L53" i="8" s="1"/>
  <c r="M53" i="8" s="1"/>
  <c r="K52" i="8"/>
  <c r="L52" i="8" s="1"/>
  <c r="M52" i="8" s="1"/>
  <c r="K51" i="8"/>
  <c r="L51" i="8" s="1"/>
  <c r="M51" i="8" s="1"/>
  <c r="K50" i="8"/>
  <c r="L50" i="8" s="1"/>
  <c r="M50" i="8" s="1"/>
  <c r="K49" i="8"/>
  <c r="L49" i="8" s="1"/>
  <c r="M49" i="8" s="1"/>
  <c r="K48" i="8"/>
  <c r="L48" i="8" s="1"/>
  <c r="M48" i="8" s="1"/>
  <c r="K47" i="8"/>
  <c r="L47" i="8" s="1"/>
  <c r="M47" i="8" s="1"/>
  <c r="K46" i="8"/>
  <c r="L46" i="8" s="1"/>
  <c r="M46" i="8" s="1"/>
  <c r="K45" i="8"/>
  <c r="L45" i="8" s="1"/>
  <c r="M45" i="8" s="1"/>
  <c r="K44" i="8"/>
  <c r="L44" i="8" s="1"/>
  <c r="M44" i="8" s="1"/>
  <c r="K43" i="8"/>
  <c r="L43" i="8" s="1"/>
  <c r="M43" i="8" s="1"/>
  <c r="K42" i="8"/>
  <c r="L42" i="8" s="1"/>
  <c r="M42" i="8" s="1"/>
  <c r="K41" i="8"/>
  <c r="L41" i="8" s="1"/>
  <c r="M41" i="8" s="1"/>
  <c r="K40" i="8"/>
  <c r="L40" i="8" s="1"/>
  <c r="M40" i="8" s="1"/>
  <c r="K39" i="8"/>
  <c r="L39" i="8" s="1"/>
  <c r="M39" i="8" s="1"/>
  <c r="K38" i="8"/>
  <c r="L38" i="8" s="1"/>
  <c r="M38" i="8" s="1"/>
  <c r="K37" i="8"/>
  <c r="L37" i="8" s="1"/>
  <c r="M37" i="8" s="1"/>
  <c r="K36" i="8"/>
  <c r="L36" i="8" s="1"/>
  <c r="M36" i="8" s="1"/>
  <c r="K35" i="8"/>
  <c r="L35" i="8" s="1"/>
  <c r="M35" i="8" s="1"/>
  <c r="K34" i="8"/>
  <c r="L34" i="8" s="1"/>
  <c r="M34" i="8" s="1"/>
  <c r="K33" i="8"/>
  <c r="L33" i="8" s="1"/>
  <c r="M33" i="8" s="1"/>
  <c r="K32" i="8"/>
  <c r="L32" i="8" s="1"/>
  <c r="M32" i="8" s="1"/>
  <c r="K29" i="8"/>
  <c r="L29" i="8" s="1"/>
  <c r="M29" i="8" s="1"/>
  <c r="K27" i="8"/>
  <c r="L27" i="8" s="1"/>
  <c r="M27" i="8" s="1"/>
  <c r="K24" i="8"/>
  <c r="L24" i="8" s="1"/>
  <c r="M24" i="8" s="1"/>
  <c r="K19" i="8"/>
  <c r="L19" i="8" s="1"/>
  <c r="M19" i="8" s="1"/>
  <c r="K18" i="8"/>
  <c r="L18" i="8" s="1"/>
  <c r="M18" i="8" s="1"/>
  <c r="K17" i="8"/>
  <c r="L17" i="8" s="1"/>
  <c r="M17" i="8" s="1"/>
  <c r="K16" i="8"/>
  <c r="L16" i="8" s="1"/>
  <c r="M16" i="8" s="1"/>
  <c r="M20" i="8" s="1"/>
  <c r="K11" i="8"/>
  <c r="L11" i="8" s="1"/>
  <c r="M11" i="8" s="1"/>
  <c r="K62" i="8"/>
  <c r="L62" i="8" s="1"/>
  <c r="M62" i="8" s="1"/>
  <c r="J56" i="8"/>
  <c r="J30" i="8"/>
  <c r="J20" i="8"/>
  <c r="J14" i="8"/>
  <c r="J9" i="8"/>
  <c r="F56" i="8"/>
  <c r="F30" i="8"/>
  <c r="F20" i="8"/>
  <c r="F14" i="8"/>
  <c r="E56" i="8" l="1"/>
  <c r="E30" i="8"/>
  <c r="E14" i="8"/>
  <c r="N11" i="8"/>
  <c r="O11" i="8"/>
  <c r="P11" i="8"/>
  <c r="Q11" i="8"/>
  <c r="N12" i="8"/>
  <c r="O12" i="8"/>
  <c r="P12" i="8"/>
  <c r="Q12" i="8"/>
  <c r="N13" i="8"/>
  <c r="O13" i="8"/>
  <c r="P13" i="8"/>
  <c r="Q13" i="8"/>
  <c r="N16" i="8"/>
  <c r="O16" i="8"/>
  <c r="P16" i="8"/>
  <c r="Q16" i="8"/>
  <c r="N17" i="8"/>
  <c r="O17" i="8"/>
  <c r="P17" i="8"/>
  <c r="Q17" i="8"/>
  <c r="N18" i="8"/>
  <c r="O18" i="8"/>
  <c r="P18" i="8"/>
  <c r="Q18" i="8"/>
  <c r="N19" i="8"/>
  <c r="O19" i="8"/>
  <c r="P19" i="8"/>
  <c r="Q19" i="8"/>
  <c r="N22" i="8"/>
  <c r="O22" i="8"/>
  <c r="P22" i="8"/>
  <c r="Q22" i="8"/>
  <c r="N23" i="8"/>
  <c r="O23" i="8"/>
  <c r="P23" i="8"/>
  <c r="Q23" i="8"/>
  <c r="N24" i="8"/>
  <c r="O24" i="8"/>
  <c r="P24" i="8"/>
  <c r="Q24" i="8"/>
  <c r="N25" i="8"/>
  <c r="O25" i="8"/>
  <c r="P25" i="8"/>
  <c r="Q25" i="8"/>
  <c r="N26" i="8"/>
  <c r="O26" i="8"/>
  <c r="P26" i="8"/>
  <c r="Q26" i="8"/>
  <c r="N27" i="8"/>
  <c r="O27" i="8"/>
  <c r="P27" i="8"/>
  <c r="Q27" i="8"/>
  <c r="N28" i="8"/>
  <c r="O28" i="8"/>
  <c r="P28" i="8"/>
  <c r="Q28" i="8"/>
  <c r="N29" i="8"/>
  <c r="O29" i="8"/>
  <c r="P29" i="8"/>
  <c r="Q29" i="8"/>
  <c r="N32" i="8"/>
  <c r="O32" i="8"/>
  <c r="P32" i="8"/>
  <c r="Q32" i="8"/>
  <c r="N33" i="8"/>
  <c r="O33" i="8"/>
  <c r="P33" i="8"/>
  <c r="Q33" i="8"/>
  <c r="N34" i="8"/>
  <c r="O34" i="8"/>
  <c r="P34" i="8"/>
  <c r="Q34" i="8"/>
  <c r="N35" i="8"/>
  <c r="O35" i="8"/>
  <c r="P35" i="8"/>
  <c r="Q35" i="8"/>
  <c r="N36" i="8"/>
  <c r="O36" i="8"/>
  <c r="P36" i="8"/>
  <c r="Q36" i="8"/>
  <c r="N37" i="8"/>
  <c r="O37" i="8"/>
  <c r="P37" i="8"/>
  <c r="Q37" i="8"/>
  <c r="N38" i="8"/>
  <c r="O38" i="8"/>
  <c r="P38" i="8"/>
  <c r="Q38" i="8"/>
  <c r="N39" i="8"/>
  <c r="O39" i="8"/>
  <c r="P39" i="8"/>
  <c r="Q39" i="8"/>
  <c r="N40" i="8"/>
  <c r="O40" i="8"/>
  <c r="P40" i="8"/>
  <c r="Q40" i="8"/>
  <c r="N41" i="8"/>
  <c r="O41" i="8"/>
  <c r="P41" i="8"/>
  <c r="Q41" i="8"/>
  <c r="N42" i="8"/>
  <c r="O42" i="8"/>
  <c r="P42" i="8"/>
  <c r="Q42" i="8"/>
  <c r="N43" i="8"/>
  <c r="O43" i="8"/>
  <c r="P43" i="8"/>
  <c r="Q43" i="8"/>
  <c r="N44" i="8"/>
  <c r="O44" i="8"/>
  <c r="P44" i="8"/>
  <c r="Q44" i="8"/>
  <c r="N45" i="8"/>
  <c r="O45" i="8"/>
  <c r="P45" i="8"/>
  <c r="Q45" i="8"/>
  <c r="N46" i="8"/>
  <c r="O46" i="8"/>
  <c r="P46" i="8"/>
  <c r="Q46" i="8"/>
  <c r="N47" i="8"/>
  <c r="O47" i="8"/>
  <c r="P47" i="8"/>
  <c r="Q47" i="8"/>
  <c r="N48" i="8"/>
  <c r="O48" i="8"/>
  <c r="P48" i="8"/>
  <c r="Q48" i="8"/>
  <c r="N49" i="8"/>
  <c r="O49" i="8"/>
  <c r="P49" i="8"/>
  <c r="Q49" i="8"/>
  <c r="N50" i="8"/>
  <c r="O50" i="8"/>
  <c r="P50" i="8"/>
  <c r="Q50" i="8"/>
  <c r="N51" i="8"/>
  <c r="O51" i="8"/>
  <c r="P51" i="8"/>
  <c r="Q51" i="8"/>
  <c r="N52" i="8"/>
  <c r="O52" i="8"/>
  <c r="P52" i="8"/>
  <c r="Q52" i="8"/>
  <c r="N53" i="8"/>
  <c r="O53" i="8"/>
  <c r="P53" i="8"/>
  <c r="Q53" i="8"/>
  <c r="N54" i="8"/>
  <c r="O54" i="8"/>
  <c r="P54" i="8"/>
  <c r="Q54" i="8"/>
  <c r="N55" i="8"/>
  <c r="O55" i="8"/>
  <c r="P55" i="8"/>
  <c r="Q55" i="8"/>
  <c r="O58" i="8"/>
  <c r="P58" i="8"/>
  <c r="Q58" i="8"/>
  <c r="N59" i="8"/>
  <c r="O59" i="8"/>
  <c r="P59" i="8"/>
  <c r="Q59" i="8"/>
  <c r="P61" i="8"/>
  <c r="Q61" i="8"/>
  <c r="P62" i="8"/>
  <c r="Q62" i="8"/>
  <c r="N64" i="8"/>
  <c r="O64" i="8"/>
  <c r="P64" i="8"/>
  <c r="Q64" i="8"/>
  <c r="P65" i="8"/>
  <c r="Q65" i="8"/>
  <c r="N66" i="8"/>
  <c r="O66" i="8"/>
  <c r="P66" i="8"/>
  <c r="Q66" i="8"/>
  <c r="O67" i="8"/>
  <c r="P67" i="8"/>
  <c r="Q67" i="8"/>
  <c r="P68" i="8"/>
  <c r="Q68" i="8"/>
  <c r="N9" i="8"/>
  <c r="I16" i="8" l="1"/>
  <c r="I17" i="8"/>
  <c r="I18" i="8"/>
  <c r="I19" i="8"/>
  <c r="I22" i="8"/>
  <c r="I23" i="8"/>
  <c r="I24" i="8"/>
  <c r="I25" i="8"/>
  <c r="I26" i="8"/>
  <c r="I27" i="8"/>
  <c r="I28" i="8"/>
  <c r="I29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8" i="8"/>
  <c r="I59" i="8"/>
  <c r="I61" i="8"/>
  <c r="I62" i="8"/>
  <c r="I64" i="8"/>
  <c r="I65" i="8"/>
  <c r="I66" i="8"/>
  <c r="I67" i="8"/>
  <c r="I68" i="8"/>
  <c r="I11" i="8"/>
  <c r="I12" i="8"/>
  <c r="I13" i="8"/>
  <c r="I9" i="8"/>
  <c r="H11" i="8"/>
  <c r="H12" i="8"/>
  <c r="H13" i="8"/>
  <c r="H16" i="8"/>
  <c r="H17" i="8"/>
  <c r="H18" i="8"/>
  <c r="H19" i="8"/>
  <c r="H22" i="8"/>
  <c r="H23" i="8"/>
  <c r="H24" i="8"/>
  <c r="H25" i="8"/>
  <c r="H26" i="8"/>
  <c r="H27" i="8"/>
  <c r="H28" i="8"/>
  <c r="H29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8" i="8"/>
  <c r="H59" i="8"/>
  <c r="H61" i="8"/>
  <c r="H62" i="8"/>
  <c r="H64" i="8"/>
  <c r="H66" i="8"/>
  <c r="H67" i="8"/>
  <c r="H68" i="8"/>
  <c r="H9" i="8"/>
  <c r="N68" i="8"/>
  <c r="N67" i="8"/>
  <c r="N62" i="8"/>
  <c r="N61" i="8"/>
  <c r="N58" i="8"/>
  <c r="M56" i="8"/>
  <c r="Q56" i="8" s="1"/>
  <c r="L56" i="8"/>
  <c r="P56" i="8" s="1"/>
  <c r="K56" i="8"/>
  <c r="O56" i="8" s="1"/>
  <c r="N56" i="8"/>
  <c r="D56" i="8"/>
  <c r="M30" i="8"/>
  <c r="Q30" i="8" s="1"/>
  <c r="L30" i="8"/>
  <c r="P30" i="8" s="1"/>
  <c r="K30" i="8"/>
  <c r="O30" i="8" s="1"/>
  <c r="N30" i="8"/>
  <c r="I30" i="8"/>
  <c r="D30" i="8"/>
  <c r="H30" i="8" s="1"/>
  <c r="Q20" i="8"/>
  <c r="L20" i="8"/>
  <c r="P20" i="8" s="1"/>
  <c r="K20" i="8"/>
  <c r="O20" i="8" s="1"/>
  <c r="N20" i="8"/>
  <c r="E20" i="8"/>
  <c r="I20" i="8" s="1"/>
  <c r="D20" i="8"/>
  <c r="M14" i="8"/>
  <c r="Q14" i="8" s="1"/>
  <c r="L14" i="8"/>
  <c r="P14" i="8" s="1"/>
  <c r="K14" i="8"/>
  <c r="O14" i="8" s="1"/>
  <c r="N14" i="8"/>
  <c r="I14" i="8"/>
  <c r="D14" i="8"/>
  <c r="M9" i="8"/>
  <c r="Q9" i="8" s="1"/>
  <c r="L9" i="8"/>
  <c r="P9" i="8" s="1"/>
  <c r="K9" i="8"/>
  <c r="O9" i="8" s="1"/>
  <c r="O65" i="8" l="1"/>
  <c r="N65" i="8"/>
  <c r="H56" i="8"/>
  <c r="O61" i="8"/>
  <c r="O62" i="8"/>
  <c r="H20" i="8"/>
  <c r="I56" i="8"/>
  <c r="H14" i="8"/>
  <c r="O68" i="8"/>
  <c r="E12" i="6"/>
  <c r="E11" i="6"/>
  <c r="E10" i="6"/>
  <c r="E9" i="6"/>
  <c r="E8" i="6"/>
  <c r="E7" i="6"/>
  <c r="E6" i="6"/>
  <c r="D7" i="6"/>
  <c r="D8" i="6"/>
  <c r="D9" i="6"/>
  <c r="D10" i="6"/>
  <c r="D11" i="6"/>
  <c r="D12" i="6"/>
  <c r="D6" i="6"/>
  <c r="R24" i="5" l="1"/>
  <c r="S24" i="5" s="1"/>
  <c r="P24" i="5"/>
  <c r="Q24" i="5" s="1"/>
  <c r="H24" i="5"/>
  <c r="I24" i="5" s="1"/>
  <c r="N24" i="5" s="1"/>
  <c r="O24" i="5" s="1"/>
  <c r="F24" i="5"/>
  <c r="G24" i="5" s="1"/>
  <c r="R23" i="5"/>
  <c r="S23" i="5" s="1"/>
  <c r="P23" i="5"/>
  <c r="Q23" i="5" s="1"/>
  <c r="N23" i="5"/>
  <c r="O23" i="5" s="1"/>
  <c r="L23" i="5"/>
  <c r="M23" i="5" s="1"/>
  <c r="H23" i="5"/>
  <c r="F23" i="5"/>
  <c r="G23" i="5" s="1"/>
  <c r="R22" i="5"/>
  <c r="S22" i="5" s="1"/>
  <c r="P22" i="5"/>
  <c r="Q22" i="5" s="1"/>
  <c r="N22" i="5"/>
  <c r="O22" i="5" s="1"/>
  <c r="L22" i="5"/>
  <c r="M22" i="5" s="1"/>
  <c r="F22" i="5"/>
  <c r="G22" i="5" s="1"/>
  <c r="R21" i="5"/>
  <c r="S21" i="5" s="1"/>
  <c r="P21" i="5"/>
  <c r="Q21" i="5" s="1"/>
  <c r="H21" i="5"/>
  <c r="F21" i="5"/>
  <c r="G21" i="5" s="1"/>
  <c r="R20" i="5"/>
  <c r="S20" i="5" s="1"/>
  <c r="P20" i="5"/>
  <c r="Q20" i="5" s="1"/>
  <c r="N20" i="5"/>
  <c r="O20" i="5" s="1"/>
  <c r="L20" i="5"/>
  <c r="M20" i="5" s="1"/>
  <c r="F20" i="5"/>
  <c r="G20" i="5" s="1"/>
  <c r="R19" i="5"/>
  <c r="S19" i="5" s="1"/>
  <c r="P19" i="5"/>
  <c r="Q19" i="5" s="1"/>
  <c r="N19" i="5"/>
  <c r="O19" i="5" s="1"/>
  <c r="L19" i="5"/>
  <c r="M19" i="5" s="1"/>
  <c r="F19" i="5"/>
  <c r="G19" i="5" s="1"/>
  <c r="R18" i="5"/>
  <c r="S18" i="5" s="1"/>
  <c r="P18" i="5"/>
  <c r="Q18" i="5" s="1"/>
  <c r="H18" i="5"/>
  <c r="F18" i="5"/>
  <c r="G18" i="5" s="1"/>
  <c r="R17" i="5"/>
  <c r="S17" i="5" s="1"/>
  <c r="P17" i="5"/>
  <c r="Q17" i="5" s="1"/>
  <c r="H17" i="5"/>
  <c r="F17" i="5"/>
  <c r="G17" i="5" s="1"/>
  <c r="K15" i="5"/>
  <c r="J15" i="5"/>
  <c r="I15" i="5"/>
  <c r="H15" i="5"/>
  <c r="E15" i="5"/>
  <c r="D15" i="5"/>
  <c r="R14" i="5"/>
  <c r="S14" i="5" s="1"/>
  <c r="P14" i="5"/>
  <c r="Q14" i="5" s="1"/>
  <c r="N14" i="5"/>
  <c r="O14" i="5" s="1"/>
  <c r="L14" i="5"/>
  <c r="M14" i="5" s="1"/>
  <c r="F14" i="5"/>
  <c r="G14" i="5" s="1"/>
  <c r="R13" i="5"/>
  <c r="S13" i="5" s="1"/>
  <c r="P13" i="5"/>
  <c r="Q13" i="5" s="1"/>
  <c r="N13" i="5"/>
  <c r="O13" i="5" s="1"/>
  <c r="L13" i="5"/>
  <c r="M13" i="5" s="1"/>
  <c r="F13" i="5"/>
  <c r="G13" i="5" s="1"/>
  <c r="R12" i="5"/>
  <c r="S12" i="5" s="1"/>
  <c r="P12" i="5"/>
  <c r="Q12" i="5" s="1"/>
  <c r="N12" i="5"/>
  <c r="O12" i="5" s="1"/>
  <c r="L12" i="5"/>
  <c r="M12" i="5" s="1"/>
  <c r="F12" i="5"/>
  <c r="F10" i="5" s="1"/>
  <c r="G10" i="5" s="1"/>
  <c r="R11" i="5"/>
  <c r="S11" i="5" s="1"/>
  <c r="P11" i="5"/>
  <c r="Q11" i="5" s="1"/>
  <c r="N11" i="5"/>
  <c r="O11" i="5" s="1"/>
  <c r="L11" i="5"/>
  <c r="M11" i="5" s="1"/>
  <c r="L10" i="5"/>
  <c r="M10" i="5" s="1"/>
  <c r="K10" i="5"/>
  <c r="R10" i="5" s="1"/>
  <c r="S10" i="5" s="1"/>
  <c r="J10" i="5"/>
  <c r="P10" i="5" s="1"/>
  <c r="Q10" i="5" s="1"/>
  <c r="I10" i="5"/>
  <c r="N10" i="5" s="1"/>
  <c r="O10" i="5" s="1"/>
  <c r="F15" i="5" l="1"/>
  <c r="G15" i="5" s="1"/>
  <c r="L24" i="5"/>
  <c r="M24" i="5" s="1"/>
  <c r="N15" i="5"/>
  <c r="O15" i="5" s="1"/>
  <c r="R15" i="5"/>
  <c r="S15" i="5" s="1"/>
  <c r="L15" i="5"/>
  <c r="M15" i="5" s="1"/>
  <c r="P15" i="5"/>
  <c r="Q15" i="5" s="1"/>
  <c r="G12" i="5"/>
  <c r="L21" i="5"/>
  <c r="M21" i="5" s="1"/>
  <c r="I21" i="5"/>
  <c r="N21" i="5" s="1"/>
  <c r="O21" i="5" s="1"/>
  <c r="L17" i="5"/>
  <c r="M17" i="5" s="1"/>
  <c r="I17" i="5"/>
  <c r="N17" i="5" s="1"/>
  <c r="O17" i="5" s="1"/>
  <c r="L18" i="5"/>
  <c r="M18" i="5" s="1"/>
  <c r="I18" i="5"/>
  <c r="N18" i="5" s="1"/>
  <c r="O18" i="5" s="1"/>
  <c r="H6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59" authorId="0" shapeId="0" xr:uid="{A1E5574D-E57E-475C-A15C-E8BBEF6DC60A}">
      <text>
        <r>
          <rPr>
            <b/>
            <sz val="9"/>
            <color indexed="81"/>
            <rFont val="Tahoma"/>
            <family val="2"/>
          </rPr>
          <t xml:space="preserve">Rincian sdh ada </t>
        </r>
      </text>
    </comment>
  </commentList>
</comments>
</file>

<file path=xl/sharedStrings.xml><?xml version="1.0" encoding="utf-8"?>
<sst xmlns="http://schemas.openxmlformats.org/spreadsheetml/2006/main" count="227" uniqueCount="137">
  <si>
    <t>DATA PENDUKUNG IKK OUTCOME USAHA MIKRO</t>
  </si>
  <si>
    <t>NO</t>
  </si>
  <si>
    <t>URAIAN</t>
  </si>
  <si>
    <t>Usaha Mikro yang menjadi wirausaha</t>
  </si>
  <si>
    <t>Wirausaha berskala mikro</t>
  </si>
  <si>
    <t>Usaha mikro yang diinput ke dalam sistem online data (ODS)</t>
  </si>
  <si>
    <t>Usaha mikro yang bermitra</t>
  </si>
  <si>
    <t>Usaha mikro yang mendapat fasilitasi pemasaran</t>
  </si>
  <si>
    <t>Usaha mikro yang diberikan dukungan fasilitasi pelatihan</t>
  </si>
  <si>
    <t>Usaha mikro yang diberikan pendampingan melalui Lembaga Pendampingan</t>
  </si>
  <si>
    <t>1</t>
  </si>
  <si>
    <t>2</t>
  </si>
  <si>
    <t>3</t>
  </si>
  <si>
    <t>4</t>
  </si>
  <si>
    <t>TAHUN</t>
  </si>
  <si>
    <t>PERTUMBUHAN</t>
  </si>
  <si>
    <t>Rp</t>
  </si>
  <si>
    <t>%</t>
  </si>
  <si>
    <t>5=4-3</t>
  </si>
  <si>
    <t>6=5/3</t>
  </si>
  <si>
    <t>TAHUN 2021</t>
  </si>
  <si>
    <t>7</t>
  </si>
  <si>
    <t>8</t>
  </si>
  <si>
    <t>TW I dibandingkan dg TH 2020</t>
  </si>
  <si>
    <t>S.D TW I</t>
  </si>
  <si>
    <t>11=7-4</t>
  </si>
  <si>
    <t>12=11/4-100</t>
  </si>
  <si>
    <t>13=8-4</t>
  </si>
  <si>
    <t>14=13/4-100</t>
  </si>
  <si>
    <t>15=9-4</t>
  </si>
  <si>
    <t>16=15/4-100</t>
  </si>
  <si>
    <t>TW II dibandingkan dg TH 2020</t>
  </si>
  <si>
    <t>TW III dibandingkan dg TH 2020</t>
  </si>
  <si>
    <t>TW IV dibandingkan dg TH 2020</t>
  </si>
  <si>
    <t>17=10-4</t>
  </si>
  <si>
    <t>18=17/4-100</t>
  </si>
  <si>
    <t>DATA UMKM BINAAN PLUT  :</t>
  </si>
  <si>
    <t xml:space="preserve">JUMLAH UMKM </t>
  </si>
  <si>
    <t>2.</t>
  </si>
  <si>
    <t>UMKM BERDASARKAN SKALA USAHA ( ASET DAN OMZET ) :</t>
  </si>
  <si>
    <t>UMKM BERDASARKAN JENIS USAHA :</t>
  </si>
  <si>
    <t xml:space="preserve">Jumlah </t>
  </si>
  <si>
    <t>3.</t>
  </si>
  <si>
    <t>4.</t>
  </si>
  <si>
    <t>5.</t>
  </si>
  <si>
    <t>UMKM PER KECAMATAN :</t>
  </si>
  <si>
    <t>6.</t>
  </si>
  <si>
    <t>7.</t>
  </si>
  <si>
    <t>DATA LAIN - LAIN :</t>
  </si>
  <si>
    <t>1.</t>
  </si>
  <si>
    <t>8.</t>
  </si>
  <si>
    <t>9.</t>
  </si>
  <si>
    <t>11.</t>
  </si>
  <si>
    <t>12.</t>
  </si>
  <si>
    <t>13.</t>
  </si>
  <si>
    <t>14.</t>
  </si>
  <si>
    <t>Dayeuhluhur</t>
  </si>
  <si>
    <t>Wanareja</t>
  </si>
  <si>
    <t>Majenang</t>
  </si>
  <si>
    <t>Cimanggu</t>
  </si>
  <si>
    <t>Karangpucung</t>
  </si>
  <si>
    <t>Cipari</t>
  </si>
  <si>
    <t>Sidareja</t>
  </si>
  <si>
    <t>Kedungreja</t>
  </si>
  <si>
    <t>Patimuan</t>
  </si>
  <si>
    <t>Gandrumangu</t>
  </si>
  <si>
    <t>Bantarsari</t>
  </si>
  <si>
    <t>Kawunganten</t>
  </si>
  <si>
    <t>Kampunglaut</t>
  </si>
  <si>
    <t>Jeruklegi</t>
  </si>
  <si>
    <t>Kesugihan</t>
  </si>
  <si>
    <t>Adipala</t>
  </si>
  <si>
    <t>Maos</t>
  </si>
  <si>
    <t>Sampang</t>
  </si>
  <si>
    <t>Kroya</t>
  </si>
  <si>
    <t>Binangun</t>
  </si>
  <si>
    <t>Nusawungu</t>
  </si>
  <si>
    <t>Cilacap Selatan</t>
  </si>
  <si>
    <t>Cilacap Tengah</t>
  </si>
  <si>
    <t>Cilacap Utara</t>
  </si>
  <si>
    <t>10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</si>
  <si>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</si>
  <si>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</si>
  <si>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</si>
  <si>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</si>
  <si>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</si>
  <si>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</si>
  <si>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</si>
  <si>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</si>
  <si>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</si>
  <si>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</si>
  <si>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Bid Pertanian, Peternakan, Kehutanan dan Perikanan</t>
  </si>
  <si>
    <t>Bid Pertambangan dan Penggalian</t>
  </si>
  <si>
    <t>Bid  Industri Pengolahan</t>
  </si>
  <si>
    <t>Bid Listrik, gas dan air Bersih</t>
  </si>
  <si>
    <t>Bid Bangunan</t>
  </si>
  <si>
    <t>Bid Perdagangan, hotel dan restoran</t>
  </si>
  <si>
    <t>Bid Pengangkutan dan Komunikasi</t>
  </si>
  <si>
    <t>Bid Jasa jasa swasta</t>
  </si>
  <si>
    <t>Jenis Usaha 1 ( Produksi / Non Pertanian )</t>
  </si>
  <si>
    <t>Jenis Usaha 2 ( Pertanian )</t>
  </si>
  <si>
    <t>Jenis Usaha 3 ( Perdagangan )</t>
  </si>
  <si>
    <t>Jenis Usaha 4 ( jasa )</t>
  </si>
  <si>
    <t>Usaha Mikro</t>
  </si>
  <si>
    <t>Usaha Kecil</t>
  </si>
  <si>
    <t>Usaha Menengah</t>
  </si>
  <si>
    <t>Usaha mikro yg diberikan dukungan fasilitasi standarisasi &amp; sertifikasi produk usaha</t>
  </si>
  <si>
    <t>S.D TW II</t>
  </si>
  <si>
    <t>S.D TW III</t>
  </si>
  <si>
    <t>S.D TW IV</t>
  </si>
  <si>
    <t>DATA - DATA YG SELALU DIMINTA SEKRETARIAT :</t>
  </si>
  <si>
    <t>UMKM BERDASARKAN BIDANG USAHA :</t>
  </si>
  <si>
    <t>JUMLAH</t>
  </si>
  <si>
    <t>% nPertmbuhan</t>
  </si>
  <si>
    <t>Jml Tambah</t>
  </si>
  <si>
    <t>6=4/3</t>
  </si>
  <si>
    <t>7=5/4</t>
  </si>
  <si>
    <t>TAHUN 2022</t>
  </si>
  <si>
    <t xml:space="preserve">   </t>
  </si>
  <si>
    <t>-</t>
  </si>
  <si>
    <t>Usaha mikro yg diberikan dukungan fasilitasi standarisasi &amp; sertifikasi produk usaha (mba anisa)</t>
  </si>
  <si>
    <t>Usaha mikro yang mendapat fasilitasi pemasaran (mas aska)</t>
  </si>
  <si>
    <t>Usaha mikro yang diberikan dukungan fasilitasi pelatihan (mas enden)</t>
  </si>
  <si>
    <t>Usaha mikro yang bermitra (mas azka)</t>
  </si>
  <si>
    <t xml:space="preserve">S.D TW III </t>
  </si>
  <si>
    <t>UMKM yg mengisi form Profil Usaha di PLUT (mba hana)</t>
  </si>
  <si>
    <t>UMKM binaan PLUT yang sdh berijin (mba hana)</t>
  </si>
  <si>
    <t>Usaha Mikro yang menjadi wirausaha (mba hana)</t>
  </si>
  <si>
    <t>Wirausaha berskala mikro (mba hana)</t>
  </si>
  <si>
    <t>Usaha mikro yang diinput ke dalam sistem online data (ODS) (data tidak dihimpun lagi)</t>
  </si>
  <si>
    <t>Usaha mikro yang diberikan pendampingan melalui Lembaga Pendampingan (mas fathur)</t>
  </si>
  <si>
    <t xml:space="preserve">S.D TW IV </t>
  </si>
  <si>
    <t>Data Pertumbuhan UMKM Cilacap s.d Tahun 2022</t>
  </si>
  <si>
    <t>s.d TWI/Thn 2022</t>
  </si>
  <si>
    <t>s.d TWII/Thn 2022</t>
  </si>
  <si>
    <t>s.d TWIII/Thn 2022</t>
  </si>
  <si>
    <t>s.d TWIV/Thn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</si>
</sst>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22"/>
      <color rgb="FFFF0000"/>
      <name val="Arial"/>
      <family val="2"/>
    </font>
    <font>
      <sz val="9"/>
      <color rgb="FFFF0000"/>
      <name val="Arial"/>
      <family val="2"/>
    </font>
    <font>
      <i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16"/>
      <color rgb="FFFF0000"/>
      <name val="Arial"/>
      <family val="2"/>
    </font>
    <font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5">
    <xf numFmtId="0" fontId="0" fillId="0" borderId="0" xfId="0"/>
    <xf numFmtId="0" fontId="4" fillId="0" borderId="0" xfId="0" applyFont="1"/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0" fontId="4" fillId="0" borderId="13" xfId="0" applyFont="1" applyBorder="1"/>
    <xf numFmtId="41" fontId="8" fillId="0" borderId="6" xfId="1" applyFont="1" applyBorder="1" applyAlignment="1">
      <alignment horizontal="center" vertical="center"/>
    </xf>
    <xf numFmtId="41" fontId="5" fillId="0" borderId="6" xfId="1" applyFont="1" applyBorder="1" applyAlignment="1">
      <alignment horizontal="center" vertical="center"/>
    </xf>
    <xf numFmtId="41" fontId="5" fillId="0" borderId="7" xfId="1" applyFont="1" applyBorder="1" applyAlignment="1">
      <alignment horizontal="center" vertical="center"/>
    </xf>
    <xf numFmtId="41" fontId="4" fillId="0" borderId="6" xfId="1" applyFont="1" applyFill="1" applyBorder="1" applyAlignment="1">
      <alignment horizontal="center" vertical="center"/>
    </xf>
    <xf numFmtId="41" fontId="5" fillId="0" borderId="6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right" vertical="center"/>
    </xf>
    <xf numFmtId="41" fontId="5" fillId="0" borderId="10" xfId="0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right" vertical="center"/>
    </xf>
    <xf numFmtId="164" fontId="4" fillId="0" borderId="6" xfId="1" applyNumberFormat="1" applyFont="1" applyFill="1" applyBorder="1" applyAlignment="1">
      <alignment horizontal="right" vertical="center"/>
    </xf>
    <xf numFmtId="164" fontId="5" fillId="0" borderId="6" xfId="1" applyNumberFormat="1" applyFont="1" applyFill="1" applyBorder="1" applyAlignment="1">
      <alignment horizontal="right" vertical="center"/>
    </xf>
    <xf numFmtId="0" fontId="4" fillId="0" borderId="7" xfId="0" applyFont="1" applyBorder="1"/>
    <xf numFmtId="0" fontId="4" fillId="0" borderId="4" xfId="0" quotePrefix="1" applyFont="1" applyBorder="1" applyAlignment="1">
      <alignment horizontal="center"/>
    </xf>
    <xf numFmtId="0" fontId="4" fillId="0" borderId="14" xfId="0" quotePrefix="1" applyFont="1" applyBorder="1"/>
    <xf numFmtId="41" fontId="4" fillId="0" borderId="7" xfId="1" applyFont="1" applyFill="1" applyBorder="1" applyAlignment="1">
      <alignment horizontal="right"/>
    </xf>
    <xf numFmtId="41" fontId="4" fillId="0" borderId="6" xfId="1" applyFont="1" applyFill="1" applyBorder="1" applyAlignment="1">
      <alignment horizontal="right" vertical="center"/>
    </xf>
    <xf numFmtId="41" fontId="4" fillId="0" borderId="6" xfId="1" applyFont="1" applyFill="1" applyBorder="1" applyAlignment="1">
      <alignment horizontal="right"/>
    </xf>
    <xf numFmtId="0" fontId="9" fillId="0" borderId="6" xfId="0" applyFont="1" applyBorder="1"/>
    <xf numFmtId="0" fontId="9" fillId="0" borderId="2" xfId="0" applyFont="1" applyBorder="1"/>
    <xf numFmtId="0" fontId="9" fillId="0" borderId="15" xfId="0" applyFont="1" applyBorder="1" applyAlignment="1">
      <alignment horizontal="right" vertical="center" wrapText="1"/>
    </xf>
    <xf numFmtId="41" fontId="9" fillId="0" borderId="8" xfId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9" fillId="0" borderId="0" xfId="0" applyFont="1"/>
    <xf numFmtId="41" fontId="14" fillId="0" borderId="0" xfId="1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right" vertical="center" wrapText="1"/>
    </xf>
    <xf numFmtId="0" fontId="15" fillId="0" borderId="0" xfId="0" applyFont="1"/>
    <xf numFmtId="0" fontId="15" fillId="0" borderId="9" xfId="0" quotePrefix="1" applyFont="1" applyBorder="1" applyAlignment="1">
      <alignment horizontal="right" vertical="center" wrapText="1"/>
    </xf>
    <xf numFmtId="0" fontId="8" fillId="0" borderId="0" xfId="0" applyFont="1"/>
    <xf numFmtId="0" fontId="16" fillId="0" borderId="0" xfId="0" applyFont="1"/>
    <xf numFmtId="0" fontId="6" fillId="0" borderId="0" xfId="0" applyFont="1"/>
    <xf numFmtId="41" fontId="7" fillId="0" borderId="0" xfId="1" applyFont="1" applyFill="1" applyAlignment="1">
      <alignment horizontal="right" vertical="center"/>
    </xf>
    <xf numFmtId="41" fontId="14" fillId="0" borderId="0" xfId="1" applyFont="1" applyFill="1" applyAlignment="1">
      <alignment horizontal="right" vertical="center"/>
    </xf>
    <xf numFmtId="41" fontId="14" fillId="0" borderId="0" xfId="1" applyFont="1" applyFill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 wrapText="1"/>
    </xf>
    <xf numFmtId="0" fontId="3" fillId="0" borderId="0" xfId="0" applyFont="1"/>
    <xf numFmtId="0" fontId="3" fillId="0" borderId="9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2" fillId="0" borderId="16" xfId="0" quotePrefix="1" applyFont="1" applyBorder="1" applyAlignment="1">
      <alignment horizontal="left" vertical="center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right" vertical="center" wrapText="1"/>
    </xf>
    <xf numFmtId="0" fontId="15" fillId="0" borderId="9" xfId="0" quotePrefix="1" applyFont="1" applyBorder="1" applyAlignment="1">
      <alignment horizontal="center" vertical="center" wrapText="1"/>
    </xf>
    <xf numFmtId="41" fontId="2" fillId="0" borderId="6" xfId="1" applyFont="1" applyFill="1" applyBorder="1" applyAlignment="1">
      <alignment horizontal="center" vertical="center"/>
    </xf>
    <xf numFmtId="41" fontId="8" fillId="0" borderId="6" xfId="1" applyFont="1" applyFill="1" applyBorder="1" applyAlignment="1">
      <alignment horizontal="center" vertical="center"/>
    </xf>
    <xf numFmtId="0" fontId="2" fillId="0" borderId="0" xfId="0" applyFont="1"/>
    <xf numFmtId="0" fontId="2" fillId="0" borderId="6" xfId="0" quotePrefix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41" fontId="4" fillId="0" borderId="7" xfId="1" applyFont="1" applyFill="1" applyBorder="1" applyAlignment="1">
      <alignment horizontal="center" vertical="center"/>
    </xf>
    <xf numFmtId="41" fontId="5" fillId="0" borderId="7" xfId="1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2" xfId="0" quotePrefix="1" applyFont="1" applyBorder="1"/>
    <xf numFmtId="0" fontId="2" fillId="0" borderId="6" xfId="0" quotePrefix="1" applyFont="1" applyBorder="1" applyAlignment="1">
      <alignment horizontal="center"/>
    </xf>
    <xf numFmtId="41" fontId="2" fillId="0" borderId="6" xfId="0" applyNumberFormat="1" applyFont="1" applyBorder="1"/>
    <xf numFmtId="41" fontId="4" fillId="0" borderId="6" xfId="1" applyFont="1" applyFill="1" applyBorder="1"/>
    <xf numFmtId="0" fontId="4" fillId="0" borderId="13" xfId="0" quotePrefix="1" applyFont="1" applyBorder="1" applyAlignment="1">
      <alignment horizontal="left"/>
    </xf>
    <xf numFmtId="0" fontId="4" fillId="0" borderId="14" xfId="0" quotePrefix="1" applyFont="1" applyBorder="1" applyAlignment="1">
      <alignment horizontal="left"/>
    </xf>
    <xf numFmtId="41" fontId="4" fillId="0" borderId="7" xfId="1" applyFont="1" applyFill="1" applyBorder="1"/>
    <xf numFmtId="0" fontId="10" fillId="0" borderId="6" xfId="0" applyFont="1" applyBorder="1"/>
    <xf numFmtId="0" fontId="10" fillId="0" borderId="0" xfId="0" applyFont="1"/>
    <xf numFmtId="0" fontId="10" fillId="0" borderId="15" xfId="0" applyFont="1" applyBorder="1" applyAlignment="1">
      <alignment horizontal="right" vertical="center" wrapText="1"/>
    </xf>
    <xf numFmtId="41" fontId="10" fillId="0" borderId="8" xfId="1" applyFont="1" applyFill="1" applyBorder="1" applyAlignment="1">
      <alignment horizontal="center" vertical="center"/>
    </xf>
    <xf numFmtId="0" fontId="17" fillId="0" borderId="0" xfId="0" applyFont="1"/>
    <xf numFmtId="0" fontId="2" fillId="0" borderId="9" xfId="0" quotePrefix="1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0" borderId="9" xfId="0" applyFont="1" applyBorder="1"/>
    <xf numFmtId="0" fontId="4" fillId="0" borderId="13" xfId="0" quotePrefix="1" applyFont="1" applyBorder="1"/>
    <xf numFmtId="41" fontId="4" fillId="0" borderId="9" xfId="1" applyFont="1" applyFill="1" applyBorder="1"/>
    <xf numFmtId="0" fontId="4" fillId="0" borderId="0" xfId="0" quotePrefix="1" applyFont="1" applyAlignment="1">
      <alignment horizontal="center" vertical="center"/>
    </xf>
    <xf numFmtId="0" fontId="4" fillId="0" borderId="13" xfId="0" quotePrefix="1" applyFont="1" applyBorder="1" applyAlignment="1">
      <alignment vertical="center" wrapText="1"/>
    </xf>
    <xf numFmtId="41" fontId="5" fillId="0" borderId="6" xfId="1" applyFont="1" applyFill="1" applyBorder="1" applyAlignment="1">
      <alignment horizontal="right" vertical="center"/>
    </xf>
    <xf numFmtId="0" fontId="4" fillId="0" borderId="13" xfId="0" quotePrefix="1" applyFont="1" applyBorder="1" applyAlignment="1">
      <alignment wrapText="1"/>
    </xf>
    <xf numFmtId="0" fontId="4" fillId="0" borderId="10" xfId="0" applyFont="1" applyBorder="1"/>
    <xf numFmtId="0" fontId="5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0" fontId="4" fillId="0" borderId="10" xfId="0" applyFont="1" applyBorder="1" applyAlignment="1">
      <alignment horizontal="right"/>
    </xf>
    <xf numFmtId="0" fontId="5" fillId="0" borderId="10" xfId="0" applyFont="1" applyBorder="1"/>
    <xf numFmtId="0" fontId="4" fillId="0" borderId="18" xfId="0" applyFont="1" applyBorder="1"/>
    <xf numFmtId="0" fontId="4" fillId="0" borderId="26" xfId="0" applyFont="1" applyBorder="1"/>
    <xf numFmtId="0" fontId="4" fillId="0" borderId="25" xfId="0" applyFont="1" applyBorder="1"/>
    <xf numFmtId="0" fontId="18" fillId="0" borderId="0" xfId="0" applyFont="1"/>
    <xf numFmtId="41" fontId="14" fillId="0" borderId="0" xfId="1" applyFont="1" applyAlignment="1">
      <alignment vertical="center"/>
    </xf>
    <xf numFmtId="0" fontId="19" fillId="0" borderId="0" xfId="0" applyFont="1"/>
    <xf numFmtId="0" fontId="8" fillId="0" borderId="6" xfId="0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/>
    </xf>
    <xf numFmtId="0" fontId="15" fillId="0" borderId="9" xfId="0" quotePrefix="1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/>
    </xf>
    <xf numFmtId="0" fontId="8" fillId="0" borderId="16" xfId="0" quotePrefix="1" applyFont="1" applyBorder="1" applyAlignment="1">
      <alignment horizontal="left" vertical="center"/>
    </xf>
    <xf numFmtId="0" fontId="15" fillId="0" borderId="6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15" fillId="0" borderId="6" xfId="0" quotePrefix="1" applyFont="1" applyBorder="1" applyAlignment="1">
      <alignment horizontal="center" vertical="center" wrapText="1"/>
    </xf>
    <xf numFmtId="0" fontId="15" fillId="0" borderId="6" xfId="0" quotePrefix="1" applyFont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/>
    </xf>
    <xf numFmtId="0" fontId="8" fillId="0" borderId="6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vertical="center" wrapText="1"/>
    </xf>
    <xf numFmtId="0" fontId="16" fillId="0" borderId="6" xfId="0" applyFont="1" applyBorder="1"/>
    <xf numFmtId="0" fontId="16" fillId="0" borderId="2" xfId="0" applyFont="1" applyBorder="1"/>
    <xf numFmtId="0" fontId="16" fillId="0" borderId="15" xfId="0" applyFont="1" applyBorder="1" applyAlignment="1">
      <alignment horizontal="right" vertical="center" wrapText="1"/>
    </xf>
    <xf numFmtId="41" fontId="16" fillId="0" borderId="8" xfId="1" applyFont="1" applyBorder="1" applyAlignment="1">
      <alignment horizontal="center" vertical="center"/>
    </xf>
    <xf numFmtId="41" fontId="16" fillId="0" borderId="21" xfId="1" applyFont="1" applyBorder="1" applyAlignment="1">
      <alignment horizontal="center" vertical="center"/>
    </xf>
    <xf numFmtId="41" fontId="5" fillId="0" borderId="20" xfId="1" applyFont="1" applyBorder="1" applyAlignment="1">
      <alignment horizontal="center" vertical="center"/>
    </xf>
    <xf numFmtId="164" fontId="5" fillId="0" borderId="20" xfId="1" applyNumberFormat="1" applyFont="1" applyBorder="1" applyAlignment="1">
      <alignment horizontal="right" vertical="center"/>
    </xf>
    <xf numFmtId="41" fontId="16" fillId="0" borderId="15" xfId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/>
    </xf>
    <xf numFmtId="41" fontId="5" fillId="0" borderId="9" xfId="1" applyFont="1" applyBorder="1"/>
    <xf numFmtId="41" fontId="5" fillId="0" borderId="9" xfId="1" applyFont="1" applyBorder="1" applyAlignment="1">
      <alignment horizontal="right"/>
    </xf>
    <xf numFmtId="0" fontId="5" fillId="0" borderId="0" xfId="0" quotePrefix="1" applyFont="1" applyAlignment="1">
      <alignment horizontal="center" vertical="center"/>
    </xf>
    <xf numFmtId="0" fontId="5" fillId="0" borderId="13" xfId="0" quotePrefix="1" applyFont="1" applyBorder="1" applyAlignment="1">
      <alignment vertical="center" wrapText="1"/>
    </xf>
    <xf numFmtId="41" fontId="5" fillId="0" borderId="6" xfId="1" applyFont="1" applyBorder="1"/>
    <xf numFmtId="41" fontId="5" fillId="0" borderId="6" xfId="1" applyFont="1" applyBorder="1" applyAlignment="1">
      <alignment horizontal="right" vertical="center"/>
    </xf>
    <xf numFmtId="0" fontId="5" fillId="0" borderId="13" xfId="0" quotePrefix="1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7" xfId="0" quotePrefix="1" applyFont="1" applyBorder="1" applyAlignment="1">
      <alignment horizontal="center" vertical="center"/>
    </xf>
    <xf numFmtId="0" fontId="5" fillId="0" borderId="18" xfId="0" applyFont="1" applyBorder="1" applyAlignment="1">
      <alignment wrapText="1"/>
    </xf>
    <xf numFmtId="41" fontId="5" fillId="0" borderId="10" xfId="1" applyFont="1" applyBorder="1" applyAlignment="1">
      <alignment horizontal="right" vertical="center"/>
    </xf>
    <xf numFmtId="0" fontId="20" fillId="0" borderId="20" xfId="0" applyFont="1" applyBorder="1" applyAlignment="1">
      <alignment horizontal="center"/>
    </xf>
    <xf numFmtId="0" fontId="13" fillId="0" borderId="0" xfId="0" applyFont="1"/>
    <xf numFmtId="41" fontId="20" fillId="0" borderId="20" xfId="1" applyFont="1" applyBorder="1" applyAlignment="1">
      <alignment horizontal="center"/>
    </xf>
    <xf numFmtId="164" fontId="20" fillId="0" borderId="20" xfId="1" applyNumberFormat="1" applyFont="1" applyBorder="1" applyAlignment="1">
      <alignment horizontal="center"/>
    </xf>
    <xf numFmtId="41" fontId="20" fillId="0" borderId="20" xfId="0" applyNumberFormat="1" applyFont="1" applyBorder="1" applyAlignment="1">
      <alignment horizontal="center"/>
    </xf>
    <xf numFmtId="0" fontId="20" fillId="3" borderId="20" xfId="0" applyFont="1" applyFill="1" applyBorder="1" applyAlignment="1">
      <alignment horizontal="center"/>
    </xf>
    <xf numFmtId="41" fontId="20" fillId="3" borderId="20" xfId="1" applyFont="1" applyFill="1" applyBorder="1" applyAlignment="1">
      <alignment horizontal="center"/>
    </xf>
    <xf numFmtId="164" fontId="20" fillId="3" borderId="20" xfId="1" applyNumberFormat="1" applyFont="1" applyFill="1" applyBorder="1" applyAlignment="1">
      <alignment horizontal="center"/>
    </xf>
    <xf numFmtId="41" fontId="20" fillId="3" borderId="20" xfId="0" applyNumberFormat="1" applyFont="1" applyFill="1" applyBorder="1" applyAlignment="1">
      <alignment horizontal="center"/>
    </xf>
    <xf numFmtId="41" fontId="2" fillId="0" borderId="6" xfId="1" applyFont="1" applyBorder="1" applyAlignment="1">
      <alignment horizontal="center" vertical="center"/>
    </xf>
    <xf numFmtId="41" fontId="4" fillId="0" borderId="6" xfId="1" applyFont="1" applyBorder="1" applyAlignment="1">
      <alignment horizontal="center" vertical="center"/>
    </xf>
    <xf numFmtId="41" fontId="4" fillId="0" borderId="6" xfId="1" applyFont="1" applyBorder="1"/>
    <xf numFmtId="41" fontId="4" fillId="0" borderId="6" xfId="1" applyFont="1" applyBorder="1" applyAlignment="1">
      <alignment horizontal="right" vertical="center"/>
    </xf>
    <xf numFmtId="41" fontId="9" fillId="0" borderId="6" xfId="1" applyFont="1" applyFill="1" applyBorder="1" applyAlignment="1">
      <alignment horizontal="center" vertical="center"/>
    </xf>
    <xf numFmtId="41" fontId="10" fillId="0" borderId="6" xfId="1" applyFont="1" applyFill="1" applyBorder="1" applyAlignment="1">
      <alignment horizontal="center" vertical="center"/>
    </xf>
    <xf numFmtId="41" fontId="9" fillId="3" borderId="8" xfId="1" applyFont="1" applyFill="1" applyBorder="1" applyAlignment="1">
      <alignment horizontal="center" vertical="center"/>
    </xf>
    <xf numFmtId="41" fontId="4" fillId="3" borderId="6" xfId="1" applyFont="1" applyFill="1" applyBorder="1" applyAlignment="1">
      <alignment horizontal="center" vertical="center"/>
    </xf>
    <xf numFmtId="41" fontId="4" fillId="3" borderId="7" xfId="1" applyFont="1" applyFill="1" applyBorder="1" applyAlignment="1">
      <alignment horizontal="center" vertical="center"/>
    </xf>
    <xf numFmtId="41" fontId="2" fillId="3" borderId="6" xfId="1" applyFont="1" applyFill="1" applyBorder="1" applyAlignment="1">
      <alignment horizontal="center" vertical="center"/>
    </xf>
    <xf numFmtId="41" fontId="4" fillId="3" borderId="6" xfId="1" applyFont="1" applyFill="1" applyBorder="1"/>
    <xf numFmtId="41" fontId="4" fillId="3" borderId="7" xfId="1" applyFont="1" applyFill="1" applyBorder="1"/>
    <xf numFmtId="41" fontId="10" fillId="3" borderId="8" xfId="1" applyFont="1" applyFill="1" applyBorder="1" applyAlignment="1">
      <alignment horizontal="center" vertical="center"/>
    </xf>
    <xf numFmtId="41" fontId="4" fillId="3" borderId="6" xfId="1" applyFont="1" applyFill="1" applyBorder="1" applyAlignment="1">
      <alignment horizontal="right"/>
    </xf>
    <xf numFmtId="41" fontId="4" fillId="3" borderId="7" xfId="1" applyFont="1" applyFill="1" applyBorder="1" applyAlignment="1">
      <alignment horizontal="right"/>
    </xf>
    <xf numFmtId="41" fontId="4" fillId="3" borderId="9" xfId="1" applyFont="1" applyFill="1" applyBorder="1"/>
    <xf numFmtId="41" fontId="4" fillId="0" borderId="7" xfId="1" applyFont="1" applyFill="1" applyBorder="1" applyAlignment="1"/>
    <xf numFmtId="41" fontId="4" fillId="0" borderId="6" xfId="0" applyNumberFormat="1" applyFont="1" applyBorder="1"/>
    <xf numFmtId="41" fontId="4" fillId="0" borderId="7" xfId="0" applyNumberFormat="1" applyFont="1" applyBorder="1"/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2" xfId="0" quotePrefix="1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1" fontId="14" fillId="0" borderId="0" xfId="1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/>
    </xf>
    <xf numFmtId="0" fontId="15" fillId="0" borderId="15" xfId="0" quotePrefix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right" vertical="center" wrapText="1"/>
    </xf>
    <xf numFmtId="41" fontId="4" fillId="0" borderId="6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  <xf numFmtId="41" fontId="4" fillId="0" borderId="9" xfId="0" applyNumberFormat="1" applyFont="1" applyBorder="1"/>
    <xf numFmtId="0" fontId="4" fillId="3" borderId="9" xfId="0" applyFont="1" applyFill="1" applyBorder="1"/>
    <xf numFmtId="41" fontId="4" fillId="0" borderId="9" xfId="1" applyFont="1" applyFill="1" applyBorder="1" applyAlignment="1">
      <alignment horizontal="right"/>
    </xf>
    <xf numFmtId="3" fontId="4" fillId="0" borderId="6" xfId="1" applyNumberFormat="1" applyFont="1" applyFill="1" applyBorder="1" applyAlignment="1">
      <alignment horizontal="center" vertical="center"/>
    </xf>
    <xf numFmtId="41" fontId="4" fillId="3" borderId="6" xfId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3" fontId="4" fillId="3" borderId="10" xfId="0" applyNumberFormat="1" applyFont="1" applyFill="1" applyBorder="1" applyAlignment="1">
      <alignment horizontal="righ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Pekembangan</a:t>
            </a:r>
            <a:r>
              <a:rPr lang="id-ID" baseline="0"/>
              <a:t> UMKM Tahun 2022</a:t>
            </a:r>
          </a:p>
          <a:p>
            <a:pPr>
              <a:defRPr/>
            </a:pPr>
            <a:endParaRPr lang="id-ID" baseline="0"/>
          </a:p>
          <a:p>
            <a:pPr>
              <a:defRPr/>
            </a:pPr>
            <a:endParaRPr lang="en-ID"/>
          </a:p>
        </c:rich>
      </c:tx>
      <c:layout>
        <c:manualLayout>
          <c:xMode val="edge"/>
          <c:yMode val="edge"/>
          <c:x val="0.1967361774417809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triwulan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'Perkembangan dan Grafik'!$J$9:$M$9</c:f>
              <c:numCache>
                <c:formatCode>_(* #,##0_);_(* \(#,##0\);_(* "-"_);_(@_)</c:formatCode>
                <c:ptCount val="4"/>
                <c:pt idx="0">
                  <c:v>20428</c:v>
                </c:pt>
                <c:pt idx="1">
                  <c:v>20497</c:v>
                </c:pt>
                <c:pt idx="2">
                  <c:v>20672</c:v>
                </c:pt>
                <c:pt idx="3">
                  <c:v>20837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5-4998-B51E-A8199CE21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06943"/>
        <c:axId val="1869813599"/>
      </c:lineChart>
      <c:catAx>
        <c:axId val="1869806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Triwulan</a:t>
                </a:r>
              </a:p>
              <a:p>
                <a:pPr>
                  <a:defRPr/>
                </a:pP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813599"/>
        <c:crosses val="autoZero"/>
        <c:auto val="1"/>
        <c:lblAlgn val="ctr"/>
        <c:lblOffset val="100"/>
        <c:noMultiLvlLbl val="0"/>
      </c:catAx>
      <c:valAx>
        <c:axId val="186981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UMKM</a:t>
                </a:r>
              </a:p>
              <a:p>
                <a:pPr>
                  <a:defRPr/>
                </a:pP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806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Pekembangan UMKM Tahun 2022</a:t>
            </a:r>
          </a:p>
          <a:p>
            <a:pPr>
              <a:defRPr/>
            </a:pP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solidFill>
          <a:schemeClr val="accent1">
            <a:alpha val="3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608114610673666"/>
          <c:y val="0.19486111111111112"/>
          <c:w val="0.77121719160104985"/>
          <c:h val="0.72088764946048411"/>
        </c:manualLayout>
      </c:layout>
      <c:bar3DChart>
        <c:barDir val="col"/>
        <c:grouping val="standard"/>
        <c:varyColors val="0"/>
        <c:ser>
          <c:idx val="0"/>
          <c:order val="0"/>
          <c:tx>
            <c:v>TRIWULAN</c:v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'Perkembangan dan Grafik'!$J$9:$M$9</c:f>
              <c:numCache>
                <c:formatCode>_(* #,##0_);_(* \(#,##0\);_(* "-"_);_(@_)</c:formatCode>
                <c:ptCount val="4"/>
                <c:pt idx="0">
                  <c:v>20428</c:v>
                </c:pt>
                <c:pt idx="1">
                  <c:v>20497</c:v>
                </c:pt>
                <c:pt idx="2">
                  <c:v>20672</c:v>
                </c:pt>
                <c:pt idx="3">
                  <c:v>20837</c:v>
                </c:pt>
              </c:numCache>
            </c:numRef>
          </c:cat>
          <c:val>
            <c:numRef>
              <c:f>'Perkembangan dan Grafik'!$J$9:$M$9</c:f>
              <c:numCache>
                <c:formatCode>_(* #,##0_);_(* \(#,##0\);_(* "-"_);_(@_)</c:formatCode>
                <c:ptCount val="4"/>
                <c:pt idx="0">
                  <c:v>20428</c:v>
                </c:pt>
                <c:pt idx="1">
                  <c:v>20497</c:v>
                </c:pt>
                <c:pt idx="2">
                  <c:v>20672</c:v>
                </c:pt>
                <c:pt idx="3">
                  <c:v>20837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9-48BB-8073-5F69578B9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4"/>
        <c:gapDepth val="0"/>
        <c:shape val="box"/>
        <c:axId val="97758991"/>
        <c:axId val="97781039"/>
        <c:axId val="108006335"/>
      </c:bar3DChart>
      <c:catAx>
        <c:axId val="97758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81039"/>
        <c:crosses val="autoZero"/>
        <c:auto val="1"/>
        <c:lblAlgn val="ctr"/>
        <c:lblOffset val="100"/>
        <c:noMultiLvlLbl val="0"/>
      </c:catAx>
      <c:valAx>
        <c:axId val="97781039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58991"/>
        <c:crosses val="autoZero"/>
        <c:crossBetween val="between"/>
      </c:valAx>
      <c:serAx>
        <c:axId val="108006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81039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Perkembangan</a:t>
            </a:r>
            <a:r>
              <a:rPr lang="id-ID" baseline="0"/>
              <a:t> UMKM tahun 2019-2022</a:t>
            </a:r>
          </a:p>
          <a:p>
            <a:pPr>
              <a:defRPr/>
            </a:pP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4781277340332"/>
          <c:y val="0.19486111111111112"/>
          <c:w val="0.84725218722659668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v>TAHUN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'Perkembangan dan Grafik'!$D$5:$G$6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'Perkembangan dan Grafik'!$D$9:$G$9</c:f>
              <c:numCache>
                <c:formatCode>_(* #,##0_);_(* \(#,##0\);_(* "-"_);_(@_)</c:formatCode>
                <c:ptCount val="4"/>
                <c:pt idx="0">
                  <c:v>19407</c:v>
                </c:pt>
                <c:pt idx="1">
                  <c:v>19789</c:v>
                </c:pt>
                <c:pt idx="2">
                  <c:v>20371</c:v>
                </c:pt>
                <c:pt idx="3">
                  <c:v>20837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98-4353-BEF6-1F4F0E5F9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962335"/>
        <c:axId val="70526143"/>
      </c:lineChart>
      <c:catAx>
        <c:axId val="1747962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26143"/>
        <c:crosses val="autoZero"/>
        <c:auto val="1"/>
        <c:lblAlgn val="ctr"/>
        <c:lblOffset val="100"/>
        <c:noMultiLvlLbl val="0"/>
      </c:catAx>
      <c:valAx>
        <c:axId val="7052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962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800" b="0" i="0" baseline="0">
                <a:effectLst/>
              </a:rPr>
              <a:t>Perkembangan UMKM tahun 2019-2022</a:t>
            </a:r>
          </a:p>
          <a:p>
            <a:pPr>
              <a:defRPr/>
            </a:pPr>
            <a:endParaRPr lang="en-ID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Tahun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'Perkembangan dan Grafik'!$D$5:$G$6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'Perkembangan dan Grafik'!$D$9:$G$9</c:f>
              <c:numCache>
                <c:formatCode>_(* #,##0_);_(* \(#,##0\);_(* "-"_);_(@_)</c:formatCode>
                <c:ptCount val="4"/>
                <c:pt idx="0">
                  <c:v>19407</c:v>
                </c:pt>
                <c:pt idx="1">
                  <c:v>19789</c:v>
                </c:pt>
                <c:pt idx="2">
                  <c:v>20371</c:v>
                </c:pt>
                <c:pt idx="3">
                  <c:v>20837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2-4661-B867-596ECD58B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96672751"/>
        <c:axId val="1796666095"/>
      </c:barChart>
      <c:catAx>
        <c:axId val="1796672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6666095"/>
        <c:crosses val="autoZero"/>
        <c:auto val="1"/>
        <c:lblAlgn val="ctr"/>
        <c:lblOffset val="100"/>
        <c:noMultiLvlLbl val="0"/>
      </c:catAx>
      <c:valAx>
        <c:axId val="1796666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6672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5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lumMod val="20000"/>
          <a:lumOff val="8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lumMod val="20000"/>
          <a:lumOff val="80000"/>
        </a:schemeClr>
      </a:solidFill>
      <a:sp3d/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>
      <cs:styleClr val="0"/>
    </cs:fillRef>
    <cs:effectRef idx="0"/>
    <cs:fontRef idx="minor">
      <a:schemeClr val="dk1"/>
    </cs:fontRef>
    <cs:spPr>
      <a:solidFill>
        <a:schemeClr val="phClr">
          <a:alpha val="30000"/>
        </a:schemeClr>
      </a:solidFill>
      <a:sp3d/>
    </cs:spPr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lumMod val="60000"/>
            <a:lumOff val="40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lumMod val="50000"/>
            <a:lumOff val="5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101202</xdr:colOff>
      <xdr:row>5</xdr:row>
      <xdr:rowOff>229790</xdr:rowOff>
    </xdr:from>
    <xdr:to>
      <xdr:col>25</xdr:col>
      <xdr:colOff>422671</xdr:colOff>
      <xdr:row>14</xdr:row>
      <xdr:rowOff>282177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EC9FE2-81D2-977D-C42A-35C15F650E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601265</xdr:colOff>
      <xdr:row>16</xdr:row>
      <xdr:rowOff>134540</xdr:rowOff>
    </xdr:from>
    <xdr:to>
      <xdr:col>26</xdr:col>
      <xdr:colOff>214313</xdr:colOff>
      <xdr:row>30</xdr:row>
      <xdr:rowOff>91677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9B797E-C60B-2B05-8749-262FC96AC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53578</xdr:colOff>
      <xdr:row>33</xdr:row>
      <xdr:rowOff>75008</xdr:rowOff>
    </xdr:from>
    <xdr:to>
      <xdr:col>25</xdr:col>
      <xdr:colOff>375046</xdr:colOff>
      <xdr:row>47</xdr:row>
      <xdr:rowOff>151208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83BF25-794D-7046-73E1-2C18B0E64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29765</xdr:colOff>
      <xdr:row>57</xdr:row>
      <xdr:rowOff>15473</xdr:rowOff>
    </xdr:from>
    <xdr:to>
      <xdr:col>25</xdr:col>
      <xdr:colOff>351233</xdr:colOff>
      <xdr:row>70</xdr:row>
      <xdr:rowOff>115485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10799A-26B6-2970-4BD9-6905BC71F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77"/>
  <sheetViews>
    <sheetView tabSelected="1" topLeftCell="I1" zoomScale="80" zoomScaleNormal="80" workbookViewId="0">
      <selection activeCell="AD1" sqref="AD1"/>
    </sheetView>
  </sheetViews>
  <sheetFormatPr defaultRowHeight="15" x14ac:dyDescent="0.2"/>
  <cols>
    <col min="1" max="2" width="5.5703125" style="1" customWidth="1"/>
    <col min="3" max="3" width="104.5703125" style="1" bestFit="1" customWidth="1"/>
    <col min="4" max="4" width="10.140625" style="1" customWidth="1"/>
    <col min="5" max="7" width="12.5703125" style="1" customWidth="1"/>
    <col min="8" max="8" width="10.5703125" style="1" customWidth="1"/>
    <col min="9" max="9" width="10" style="43" customWidth="1"/>
    <col min="10" max="10" width="11.42578125" style="31" customWidth="1"/>
    <col min="11" max="11" width="13.140625" style="31" customWidth="1"/>
    <col min="12" max="12" width="11.28515625" style="31" customWidth="1"/>
    <col min="13" max="13" width="13.28515625" style="30" customWidth="1"/>
    <col min="14" max="14" width="15.42578125" style="31" customWidth="1"/>
    <col min="15" max="15" width="12.28515625" style="31" customWidth="1"/>
    <col min="16" max="17" width="12.7109375" style="31" customWidth="1"/>
    <col min="18" max="19" width="9.140625" style="30"/>
    <col min="20" max="16384" width="9.140625" style="1"/>
  </cols>
  <sheetData>
    <row r="1" spans="1:19" ht="27.75" x14ac:dyDescent="0.4">
      <c r="A1" s="38" t="s">
        <v>132</v>
      </c>
      <c r="B1" s="38"/>
      <c r="C1" s="38"/>
      <c r="D1" s="38"/>
      <c r="E1" s="38"/>
      <c r="F1" s="38"/>
      <c r="G1" s="38"/>
      <c r="H1" s="38"/>
      <c r="I1" s="39"/>
      <c r="J1" s="40"/>
      <c r="K1" s="40"/>
      <c r="L1" s="40"/>
      <c r="M1" s="41"/>
      <c r="N1" s="40"/>
      <c r="O1" s="40"/>
      <c r="P1" s="40"/>
      <c r="Q1" s="40"/>
    </row>
    <row r="2" spans="1:19" ht="24" customHeight="1" x14ac:dyDescent="0.4">
      <c r="A2" s="42"/>
      <c r="B2" s="38"/>
      <c r="C2" s="38"/>
      <c r="D2" s="38"/>
      <c r="E2" s="38"/>
      <c r="F2" s="38"/>
      <c r="G2" s="38"/>
      <c r="H2" s="38"/>
      <c r="I2" s="39"/>
      <c r="J2" s="180"/>
      <c r="K2" s="180"/>
      <c r="L2" s="180"/>
      <c r="M2" s="180"/>
      <c r="N2" s="40"/>
      <c r="O2" s="40"/>
      <c r="P2" s="40"/>
      <c r="Q2" s="40"/>
    </row>
    <row r="3" spans="1:19" ht="25.5" customHeight="1" thickBot="1" x14ac:dyDescent="0.25"/>
    <row r="4" spans="1:19" ht="15" customHeight="1" x14ac:dyDescent="0.25">
      <c r="A4" s="181" t="s">
        <v>1</v>
      </c>
      <c r="B4" s="184" t="s">
        <v>2</v>
      </c>
      <c r="C4" s="185"/>
      <c r="D4" s="191" t="s">
        <v>14</v>
      </c>
      <c r="E4" s="192"/>
      <c r="F4" s="193"/>
      <c r="G4" s="165"/>
      <c r="H4" s="190" t="s">
        <v>15</v>
      </c>
      <c r="I4" s="190"/>
      <c r="J4" s="190" t="s">
        <v>117</v>
      </c>
      <c r="K4" s="190"/>
      <c r="L4" s="190"/>
      <c r="M4" s="190"/>
      <c r="N4" s="190" t="s">
        <v>15</v>
      </c>
      <c r="O4" s="190"/>
      <c r="P4" s="190"/>
      <c r="Q4" s="190"/>
    </row>
    <row r="5" spans="1:19" ht="54" customHeight="1" x14ac:dyDescent="0.2">
      <c r="A5" s="182"/>
      <c r="B5" s="186"/>
      <c r="C5" s="187"/>
      <c r="D5" s="176">
        <v>2019</v>
      </c>
      <c r="E5" s="176">
        <v>2020</v>
      </c>
      <c r="F5" s="176">
        <v>2021</v>
      </c>
      <c r="G5" s="176">
        <v>2022</v>
      </c>
      <c r="H5" s="176" t="s">
        <v>16</v>
      </c>
      <c r="I5" s="176" t="s">
        <v>17</v>
      </c>
      <c r="J5" s="176" t="s">
        <v>24</v>
      </c>
      <c r="K5" s="176" t="s">
        <v>107</v>
      </c>
      <c r="L5" s="176" t="s">
        <v>124</v>
      </c>
      <c r="M5" s="176" t="s">
        <v>131</v>
      </c>
      <c r="N5" s="213" t="s">
        <v>133</v>
      </c>
      <c r="O5" s="213" t="s">
        <v>134</v>
      </c>
      <c r="P5" s="213" t="s">
        <v>135</v>
      </c>
      <c r="Q5" s="213" t="s">
        <v>136</v>
      </c>
    </row>
    <row r="6" spans="1:19" ht="74.25" customHeight="1" x14ac:dyDescent="0.2">
      <c r="A6" s="183"/>
      <c r="B6" s="188"/>
      <c r="C6" s="189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66" t="s">
        <v>17</v>
      </c>
      <c r="O6" s="166" t="s">
        <v>17</v>
      </c>
      <c r="P6" s="166" t="s">
        <v>17</v>
      </c>
      <c r="Q6" s="166" t="s">
        <v>17</v>
      </c>
    </row>
    <row r="7" spans="1:19" s="48" customFormat="1" ht="16.5" customHeight="1" x14ac:dyDescent="0.2">
      <c r="A7" s="45" t="s">
        <v>10</v>
      </c>
      <c r="B7" s="173" t="s">
        <v>11</v>
      </c>
      <c r="C7" s="174"/>
      <c r="D7" s="46" t="s">
        <v>12</v>
      </c>
      <c r="E7" s="46" t="s">
        <v>13</v>
      </c>
      <c r="F7" s="46">
        <v>5</v>
      </c>
      <c r="G7" s="46"/>
      <c r="H7" s="46" t="s">
        <v>115</v>
      </c>
      <c r="I7" s="46" t="s">
        <v>116</v>
      </c>
      <c r="J7" s="46">
        <v>8</v>
      </c>
      <c r="K7" s="46">
        <v>9</v>
      </c>
      <c r="L7" s="46">
        <v>10</v>
      </c>
      <c r="M7" s="46">
        <v>11</v>
      </c>
      <c r="N7" s="214" t="s">
        <v>26</v>
      </c>
      <c r="O7" s="214" t="s">
        <v>28</v>
      </c>
      <c r="P7" s="214" t="s">
        <v>30</v>
      </c>
      <c r="Q7" s="214" t="s">
        <v>35</v>
      </c>
      <c r="R7" s="34"/>
      <c r="S7" s="34"/>
    </row>
    <row r="8" spans="1:19" s="48" customFormat="1" ht="9" customHeight="1" x14ac:dyDescent="0.2">
      <c r="A8" s="49"/>
      <c r="B8" s="50"/>
      <c r="C8" s="51"/>
      <c r="D8" s="52"/>
      <c r="E8" s="52"/>
      <c r="F8" s="52"/>
      <c r="G8" s="52"/>
      <c r="H8" s="52"/>
      <c r="I8" s="53"/>
      <c r="J8" s="52"/>
      <c r="K8" s="52"/>
      <c r="L8" s="52"/>
      <c r="M8" s="52"/>
      <c r="N8" s="53"/>
      <c r="O8" s="53"/>
      <c r="P8" s="53"/>
      <c r="Q8" s="53"/>
      <c r="R8" s="34"/>
      <c r="S8" s="34"/>
    </row>
    <row r="9" spans="1:19" s="57" customFormat="1" ht="26.25" customHeight="1" x14ac:dyDescent="0.25">
      <c r="A9" s="44">
        <v>1</v>
      </c>
      <c r="B9" s="167" t="s">
        <v>37</v>
      </c>
      <c r="C9" s="168"/>
      <c r="D9" s="55">
        <v>19407</v>
      </c>
      <c r="E9" s="55">
        <v>19789</v>
      </c>
      <c r="F9" s="146">
        <v>20371</v>
      </c>
      <c r="G9" s="55">
        <f t="shared" ref="G9:G40" si="0">M9</f>
        <v>20837</v>
      </c>
      <c r="H9" s="27">
        <f>E9/D9*100-100</f>
        <v>1.9683619312619101</v>
      </c>
      <c r="I9" s="15">
        <f>F9/E9*100-100</f>
        <v>2.9410278437515842</v>
      </c>
      <c r="J9" s="155">
        <f>SUM(J11:J13)</f>
        <v>20428</v>
      </c>
      <c r="K9" s="55">
        <f>SUM(K11:K13)</f>
        <v>20497</v>
      </c>
      <c r="L9" s="55">
        <f>SUM(L11:L13)</f>
        <v>20672</v>
      </c>
      <c r="M9" s="55">
        <f>SUM(M11:M13)</f>
        <v>20837</v>
      </c>
      <c r="N9" s="15">
        <f>J9/F9*100-100</f>
        <v>0.27980953315989154</v>
      </c>
      <c r="O9" s="15">
        <f>K9/F9*100-100</f>
        <v>0.61852633645868593</v>
      </c>
      <c r="P9" s="15">
        <f>L9/F9*100-100</f>
        <v>1.4775906926513187</v>
      </c>
      <c r="Q9" s="15">
        <f>M9/F9*100-100</f>
        <v>2.2875656570615206</v>
      </c>
      <c r="R9" s="36"/>
      <c r="S9" s="36"/>
    </row>
    <row r="10" spans="1:19" s="57" customFormat="1" ht="25.5" customHeight="1" x14ac:dyDescent="0.25">
      <c r="A10" s="58" t="s">
        <v>38</v>
      </c>
      <c r="B10" s="167" t="s">
        <v>39</v>
      </c>
      <c r="C10" s="168"/>
      <c r="D10" s="55"/>
      <c r="E10" s="55"/>
      <c r="F10" s="146"/>
      <c r="G10" s="55">
        <f t="shared" si="0"/>
        <v>0</v>
      </c>
      <c r="H10" s="27"/>
      <c r="I10" s="15"/>
      <c r="J10" s="155"/>
      <c r="K10" s="55"/>
      <c r="L10" s="55"/>
      <c r="M10" s="55"/>
      <c r="N10" s="15"/>
      <c r="O10" s="15"/>
      <c r="P10" s="15"/>
      <c r="Q10" s="15"/>
      <c r="R10" s="36"/>
      <c r="S10" s="36"/>
    </row>
    <row r="11" spans="1:19" x14ac:dyDescent="0.2">
      <c r="A11" s="3"/>
      <c r="B11" s="2" t="s">
        <v>49</v>
      </c>
      <c r="C11" s="4" t="s">
        <v>103</v>
      </c>
      <c r="D11" s="8">
        <v>17237</v>
      </c>
      <c r="E11" s="8">
        <v>17577</v>
      </c>
      <c r="F11" s="8">
        <v>18159</v>
      </c>
      <c r="G11" s="8">
        <f t="shared" si="0"/>
        <v>18625</v>
      </c>
      <c r="H11" s="27">
        <f t="shared" ref="H11:H68" si="1">E11/D11*100-100</f>
        <v>1.9725010152578761</v>
      </c>
      <c r="I11" s="15">
        <f t="shared" ref="I11:I68" si="2">F11/E11*100-100</f>
        <v>3.311145246629124</v>
      </c>
      <c r="J11" s="153">
        <v>18216</v>
      </c>
      <c r="K11" s="8">
        <f>J11+69</f>
        <v>18285</v>
      </c>
      <c r="L11" s="8">
        <f>K11+122+53</f>
        <v>18460</v>
      </c>
      <c r="M11" s="8">
        <f>L11+61+62+42</f>
        <v>18625</v>
      </c>
      <c r="N11" s="15">
        <f t="shared" ref="N11:N68" si="3">J11/F11*100-100</f>
        <v>0.31389393689080691</v>
      </c>
      <c r="O11" s="15">
        <f t="shared" ref="O11:O68" si="4">K11/F11*100-100</f>
        <v>0.69387080786387401</v>
      </c>
      <c r="P11" s="15">
        <f t="shared" ref="P11:P68" si="5">L11/F11*100-100</f>
        <v>1.6575802632303578</v>
      </c>
      <c r="Q11" s="15">
        <f t="shared" ref="Q11:Q68" si="6">M11/F11*100-100</f>
        <v>2.5662206068616058</v>
      </c>
    </row>
    <row r="12" spans="1:19" x14ac:dyDescent="0.2">
      <c r="A12" s="3"/>
      <c r="B12" s="2" t="s">
        <v>38</v>
      </c>
      <c r="C12" s="4" t="s">
        <v>104</v>
      </c>
      <c r="D12" s="8">
        <v>2125</v>
      </c>
      <c r="E12" s="8">
        <v>2167</v>
      </c>
      <c r="F12" s="147">
        <v>2167</v>
      </c>
      <c r="G12" s="8">
        <f t="shared" si="0"/>
        <v>2167</v>
      </c>
      <c r="H12" s="27">
        <f t="shared" si="1"/>
        <v>1.9764705882352871</v>
      </c>
      <c r="I12" s="15">
        <f t="shared" si="2"/>
        <v>0</v>
      </c>
      <c r="J12" s="153">
        <v>2167</v>
      </c>
      <c r="K12" s="8">
        <v>2167</v>
      </c>
      <c r="L12" s="8">
        <v>2167</v>
      </c>
      <c r="M12" s="8">
        <f>L12</f>
        <v>2167</v>
      </c>
      <c r="N12" s="15">
        <f t="shared" si="3"/>
        <v>0</v>
      </c>
      <c r="O12" s="15">
        <f t="shared" si="4"/>
        <v>0</v>
      </c>
      <c r="P12" s="15">
        <f t="shared" si="5"/>
        <v>0</v>
      </c>
      <c r="Q12" s="15">
        <f t="shared" si="6"/>
        <v>0</v>
      </c>
    </row>
    <row r="13" spans="1:19" x14ac:dyDescent="0.2">
      <c r="A13" s="3"/>
      <c r="B13" s="2" t="s">
        <v>42</v>
      </c>
      <c r="C13" s="59" t="s">
        <v>105</v>
      </c>
      <c r="D13" s="60">
        <v>45</v>
      </c>
      <c r="E13" s="60">
        <v>45</v>
      </c>
      <c r="F13" s="147">
        <v>45</v>
      </c>
      <c r="G13" s="60">
        <f t="shared" si="0"/>
        <v>45</v>
      </c>
      <c r="H13" s="27">
        <f t="shared" si="1"/>
        <v>0</v>
      </c>
      <c r="I13" s="15">
        <f t="shared" si="2"/>
        <v>0</v>
      </c>
      <c r="J13" s="154">
        <v>45</v>
      </c>
      <c r="K13" s="60">
        <v>45</v>
      </c>
      <c r="L13" s="60">
        <v>45</v>
      </c>
      <c r="M13" s="60">
        <f>L13</f>
        <v>45</v>
      </c>
      <c r="N13" s="15">
        <f t="shared" si="3"/>
        <v>0</v>
      </c>
      <c r="O13" s="15">
        <f t="shared" si="4"/>
        <v>0</v>
      </c>
      <c r="P13" s="15">
        <f t="shared" si="5"/>
        <v>0</v>
      </c>
      <c r="Q13" s="15">
        <f t="shared" si="6"/>
        <v>0</v>
      </c>
    </row>
    <row r="14" spans="1:19" s="28" customFormat="1" x14ac:dyDescent="0.2">
      <c r="A14" s="23"/>
      <c r="B14" s="24"/>
      <c r="C14" s="25" t="s">
        <v>41</v>
      </c>
      <c r="D14" s="26">
        <f>SUM(D11:D13)</f>
        <v>19407</v>
      </c>
      <c r="E14" s="26">
        <f t="shared" ref="E14" si="7">SUM(E11:E13)</f>
        <v>19789</v>
      </c>
      <c r="F14" s="150">
        <f>SUM(F11:F13)</f>
        <v>20371</v>
      </c>
      <c r="G14" s="26">
        <f t="shared" si="0"/>
        <v>20837</v>
      </c>
      <c r="H14" s="27">
        <f t="shared" si="1"/>
        <v>1.9683619312619101</v>
      </c>
      <c r="I14" s="15">
        <f t="shared" si="2"/>
        <v>2.9410278437515842</v>
      </c>
      <c r="J14" s="152">
        <f t="shared" ref="J14" si="8">SUM(J11:J13)</f>
        <v>20428</v>
      </c>
      <c r="K14" s="26">
        <f t="shared" ref="K14:M14" si="9">SUM(K11:K13)</f>
        <v>20497</v>
      </c>
      <c r="L14" s="26">
        <f t="shared" si="9"/>
        <v>20672</v>
      </c>
      <c r="M14" s="26">
        <f t="shared" si="9"/>
        <v>20837</v>
      </c>
      <c r="N14" s="15">
        <f t="shared" si="3"/>
        <v>0.27980953315989154</v>
      </c>
      <c r="O14" s="15">
        <f t="shared" si="4"/>
        <v>0.61852633645868593</v>
      </c>
      <c r="P14" s="15">
        <f t="shared" si="5"/>
        <v>1.4775906926513187</v>
      </c>
      <c r="Q14" s="15">
        <f t="shared" si="6"/>
        <v>2.2875656570615206</v>
      </c>
      <c r="R14" s="37"/>
      <c r="S14" s="37"/>
    </row>
    <row r="15" spans="1:19" s="57" customFormat="1" ht="27" customHeight="1" x14ac:dyDescent="0.25">
      <c r="A15" s="58" t="s">
        <v>42</v>
      </c>
      <c r="B15" s="167" t="s">
        <v>40</v>
      </c>
      <c r="C15" s="168"/>
      <c r="D15" s="55"/>
      <c r="E15" s="55"/>
      <c r="F15" s="146"/>
      <c r="G15" s="55">
        <f t="shared" si="0"/>
        <v>0</v>
      </c>
      <c r="H15" s="27"/>
      <c r="I15" s="15"/>
      <c r="J15" s="155"/>
      <c r="K15" s="55"/>
      <c r="L15" s="55"/>
      <c r="M15" s="55"/>
      <c r="N15" s="15"/>
      <c r="O15" s="15"/>
      <c r="P15" s="15"/>
      <c r="Q15" s="15"/>
      <c r="R15" s="36"/>
      <c r="S15" s="36"/>
    </row>
    <row r="16" spans="1:19" x14ac:dyDescent="0.2">
      <c r="A16" s="3"/>
      <c r="B16" s="2" t="s">
        <v>49</v>
      </c>
      <c r="C16" s="4" t="s">
        <v>99</v>
      </c>
      <c r="D16" s="8">
        <v>9272</v>
      </c>
      <c r="E16" s="8">
        <v>9664</v>
      </c>
      <c r="F16" s="8">
        <v>9863</v>
      </c>
      <c r="G16" s="8">
        <f t="shared" si="0"/>
        <v>10109</v>
      </c>
      <c r="H16" s="27">
        <f t="shared" si="1"/>
        <v>4.2277825711820611</v>
      </c>
      <c r="I16" s="15">
        <f t="shared" si="2"/>
        <v>2.0591887417218686</v>
      </c>
      <c r="J16" s="153">
        <v>9891</v>
      </c>
      <c r="K16" s="8">
        <f>J16+33</f>
        <v>9924</v>
      </c>
      <c r="L16" s="8">
        <f>K16+72+26</f>
        <v>10022</v>
      </c>
      <c r="M16" s="8">
        <f>L16+49+29+9</f>
        <v>10109</v>
      </c>
      <c r="N16" s="15">
        <f t="shared" si="3"/>
        <v>0.28388928317954765</v>
      </c>
      <c r="O16" s="15">
        <f t="shared" si="4"/>
        <v>0.61847308121261335</v>
      </c>
      <c r="P16" s="15">
        <f t="shared" si="5"/>
        <v>1.6120855723410727</v>
      </c>
      <c r="Q16" s="15">
        <f t="shared" si="6"/>
        <v>2.4941701307918436</v>
      </c>
    </row>
    <row r="17" spans="1:19" x14ac:dyDescent="0.2">
      <c r="A17" s="3"/>
      <c r="B17" s="2" t="s">
        <v>38</v>
      </c>
      <c r="C17" s="4" t="s">
        <v>100</v>
      </c>
      <c r="D17" s="8">
        <v>524</v>
      </c>
      <c r="E17" s="8">
        <v>530</v>
      </c>
      <c r="F17" s="147">
        <v>546</v>
      </c>
      <c r="G17" s="8">
        <f t="shared" si="0"/>
        <v>557</v>
      </c>
      <c r="H17" s="27">
        <f t="shared" si="1"/>
        <v>1.1450381679389352</v>
      </c>
      <c r="I17" s="15">
        <f t="shared" si="2"/>
        <v>3.0188679245283083</v>
      </c>
      <c r="J17" s="153">
        <v>547</v>
      </c>
      <c r="K17" s="8">
        <f>J17+2</f>
        <v>549</v>
      </c>
      <c r="L17" s="8">
        <f>K17+2+3</f>
        <v>554</v>
      </c>
      <c r="M17" s="8">
        <f>L17+1+2</f>
        <v>557</v>
      </c>
      <c r="N17" s="15">
        <f t="shared" si="3"/>
        <v>0.1831501831501896</v>
      </c>
      <c r="O17" s="15">
        <f t="shared" si="4"/>
        <v>0.54945054945054039</v>
      </c>
      <c r="P17" s="15">
        <f t="shared" si="5"/>
        <v>1.46520146520146</v>
      </c>
      <c r="Q17" s="15">
        <f t="shared" si="6"/>
        <v>2.0146520146520004</v>
      </c>
    </row>
    <row r="18" spans="1:19" x14ac:dyDescent="0.2">
      <c r="A18" s="3"/>
      <c r="B18" s="2" t="s">
        <v>42</v>
      </c>
      <c r="C18" s="62" t="s">
        <v>101</v>
      </c>
      <c r="D18" s="8">
        <v>7607</v>
      </c>
      <c r="E18" s="8">
        <v>7922</v>
      </c>
      <c r="F18" s="147">
        <v>8165</v>
      </c>
      <c r="G18" s="8">
        <f t="shared" si="0"/>
        <v>8325</v>
      </c>
      <c r="H18" s="27">
        <f t="shared" si="1"/>
        <v>4.1409228342316169</v>
      </c>
      <c r="I18" s="15">
        <f t="shared" si="2"/>
        <v>3.0674072203988914</v>
      </c>
      <c r="J18" s="153">
        <v>8186</v>
      </c>
      <c r="K18" s="8">
        <f>J18+26</f>
        <v>8212</v>
      </c>
      <c r="L18" s="8">
        <f>K18+33+16</f>
        <v>8261</v>
      </c>
      <c r="M18" s="8">
        <f>L18+10+28+26</f>
        <v>8325</v>
      </c>
      <c r="N18" s="15">
        <f t="shared" si="3"/>
        <v>0.25719534598897553</v>
      </c>
      <c r="O18" s="15">
        <f t="shared" si="4"/>
        <v>0.57562767911818469</v>
      </c>
      <c r="P18" s="15">
        <f t="shared" si="5"/>
        <v>1.1757501530924515</v>
      </c>
      <c r="Q18" s="15">
        <f t="shared" si="6"/>
        <v>1.9595835884874475</v>
      </c>
    </row>
    <row r="19" spans="1:19" x14ac:dyDescent="0.2">
      <c r="A19" s="3"/>
      <c r="B19" s="2" t="s">
        <v>43</v>
      </c>
      <c r="C19" s="59" t="s">
        <v>102</v>
      </c>
      <c r="D19" s="60">
        <v>1604</v>
      </c>
      <c r="E19" s="60">
        <v>1673</v>
      </c>
      <c r="F19" s="147">
        <v>1797</v>
      </c>
      <c r="G19" s="60">
        <f t="shared" si="0"/>
        <v>1846</v>
      </c>
      <c r="H19" s="27">
        <f t="shared" si="1"/>
        <v>4.3017456359102084</v>
      </c>
      <c r="I19" s="15">
        <f t="shared" si="2"/>
        <v>7.4118350268977906</v>
      </c>
      <c r="J19" s="154">
        <v>1804</v>
      </c>
      <c r="K19" s="60">
        <f>J19+8</f>
        <v>1812</v>
      </c>
      <c r="L19" s="60">
        <f>K19+15+8</f>
        <v>1835</v>
      </c>
      <c r="M19" s="60">
        <f>L19+1+5+5</f>
        <v>1846</v>
      </c>
      <c r="N19" s="15">
        <f t="shared" si="3"/>
        <v>0.38953811908737634</v>
      </c>
      <c r="O19" s="15">
        <f t="shared" si="4"/>
        <v>0.8347245409015045</v>
      </c>
      <c r="P19" s="15">
        <f t="shared" si="5"/>
        <v>2.1146355036171514</v>
      </c>
      <c r="Q19" s="15">
        <f t="shared" si="6"/>
        <v>2.7267668336115776</v>
      </c>
    </row>
    <row r="20" spans="1:19" s="28" customFormat="1" x14ac:dyDescent="0.2">
      <c r="A20" s="23"/>
      <c r="B20" s="24"/>
      <c r="C20" s="25" t="s">
        <v>41</v>
      </c>
      <c r="D20" s="26">
        <f>SUM(D16:D19)</f>
        <v>19007</v>
      </c>
      <c r="E20" s="26">
        <f>SUM(E16:E19)</f>
        <v>19789</v>
      </c>
      <c r="F20" s="150">
        <f>SUM(F16:F19)</f>
        <v>20371</v>
      </c>
      <c r="G20" s="26">
        <f t="shared" si="0"/>
        <v>20837</v>
      </c>
      <c r="H20" s="27">
        <f t="shared" si="1"/>
        <v>4.1142736886410347</v>
      </c>
      <c r="I20" s="15">
        <f t="shared" si="2"/>
        <v>2.9410278437515842</v>
      </c>
      <c r="J20" s="152">
        <f>SUM(J16:J19)</f>
        <v>20428</v>
      </c>
      <c r="K20" s="26">
        <f>SUM(K16:K19)</f>
        <v>20497</v>
      </c>
      <c r="L20" s="26">
        <f>SUM(L16:L19)</f>
        <v>20672</v>
      </c>
      <c r="M20" s="26">
        <f>SUM(M16:M19)</f>
        <v>20837</v>
      </c>
      <c r="N20" s="15">
        <f t="shared" si="3"/>
        <v>0.27980953315989154</v>
      </c>
      <c r="O20" s="15">
        <f t="shared" si="4"/>
        <v>0.61852633645868593</v>
      </c>
      <c r="P20" s="15">
        <f t="shared" si="5"/>
        <v>1.4775906926513187</v>
      </c>
      <c r="Q20" s="15">
        <f t="shared" si="6"/>
        <v>2.2875656570615206</v>
      </c>
      <c r="R20" s="37"/>
      <c r="S20" s="37"/>
    </row>
    <row r="21" spans="1:19" s="57" customFormat="1" ht="24" customHeight="1" x14ac:dyDescent="0.25">
      <c r="A21" s="58" t="s">
        <v>43</v>
      </c>
      <c r="B21" s="167" t="s">
        <v>111</v>
      </c>
      <c r="C21" s="168"/>
      <c r="D21" s="55"/>
      <c r="E21" s="55"/>
      <c r="F21" s="146"/>
      <c r="G21" s="55">
        <f t="shared" si="0"/>
        <v>0</v>
      </c>
      <c r="H21" s="27"/>
      <c r="I21" s="15"/>
      <c r="J21" s="155"/>
      <c r="K21" s="55"/>
      <c r="L21" s="55"/>
      <c r="M21" s="55"/>
      <c r="N21" s="15"/>
      <c r="O21" s="15"/>
      <c r="P21" s="15"/>
      <c r="Q21" s="15"/>
      <c r="R21" s="36"/>
      <c r="S21" s="36"/>
    </row>
    <row r="22" spans="1:19" x14ac:dyDescent="0.2">
      <c r="A22" s="3"/>
      <c r="B22" s="2" t="s">
        <v>49</v>
      </c>
      <c r="C22" s="63" t="s">
        <v>91</v>
      </c>
      <c r="D22" s="3">
        <v>381</v>
      </c>
      <c r="E22" s="64">
        <v>401</v>
      </c>
      <c r="F22" s="64">
        <v>419</v>
      </c>
      <c r="G22" s="215">
        <f t="shared" si="0"/>
        <v>430</v>
      </c>
      <c r="H22" s="27">
        <f t="shared" si="1"/>
        <v>5.2493438320209975</v>
      </c>
      <c r="I22" s="15">
        <f t="shared" si="2"/>
        <v>4.4887780548628484</v>
      </c>
      <c r="J22" s="153">
        <v>420</v>
      </c>
      <c r="K22" s="92">
        <v>422</v>
      </c>
      <c r="L22" s="92">
        <f>K22+2+3</f>
        <v>427</v>
      </c>
      <c r="M22" s="92">
        <f>L22+1+2</f>
        <v>430</v>
      </c>
      <c r="N22" s="15">
        <f t="shared" si="3"/>
        <v>0.23866348448686381</v>
      </c>
      <c r="O22" s="15">
        <f t="shared" si="4"/>
        <v>0.71599045346061985</v>
      </c>
      <c r="P22" s="15">
        <f t="shared" si="5"/>
        <v>1.9093078758949815</v>
      </c>
      <c r="Q22" s="15">
        <f t="shared" si="6"/>
        <v>2.6252983293556014</v>
      </c>
    </row>
    <row r="23" spans="1:19" x14ac:dyDescent="0.2">
      <c r="A23" s="3"/>
      <c r="B23" s="2" t="s">
        <v>38</v>
      </c>
      <c r="C23" s="63" t="s">
        <v>92</v>
      </c>
      <c r="D23" s="3">
        <v>11</v>
      </c>
      <c r="E23" s="64">
        <v>11</v>
      </c>
      <c r="F23" s="64">
        <v>11</v>
      </c>
      <c r="G23" s="215">
        <f t="shared" si="0"/>
        <v>11</v>
      </c>
      <c r="H23" s="27">
        <f t="shared" si="1"/>
        <v>0</v>
      </c>
      <c r="I23" s="15">
        <f t="shared" si="2"/>
        <v>0</v>
      </c>
      <c r="J23" s="153">
        <v>11</v>
      </c>
      <c r="K23" s="92">
        <v>11</v>
      </c>
      <c r="L23" s="92">
        <f>K23</f>
        <v>11</v>
      </c>
      <c r="M23" s="92">
        <f>L23</f>
        <v>11</v>
      </c>
      <c r="N23" s="15">
        <f t="shared" si="3"/>
        <v>0</v>
      </c>
      <c r="O23" s="15">
        <f t="shared" si="4"/>
        <v>0</v>
      </c>
      <c r="P23" s="15">
        <f t="shared" si="5"/>
        <v>0</v>
      </c>
      <c r="Q23" s="15">
        <f t="shared" si="6"/>
        <v>0</v>
      </c>
    </row>
    <row r="24" spans="1:19" x14ac:dyDescent="0.2">
      <c r="A24" s="3"/>
      <c r="B24" s="2" t="s">
        <v>42</v>
      </c>
      <c r="C24" s="63" t="s">
        <v>93</v>
      </c>
      <c r="D24" s="3">
        <v>8764</v>
      </c>
      <c r="E24" s="64">
        <v>9139</v>
      </c>
      <c r="F24" s="64">
        <v>9334</v>
      </c>
      <c r="G24" s="215">
        <f t="shared" si="0"/>
        <v>9581</v>
      </c>
      <c r="H24" s="27">
        <f t="shared" si="1"/>
        <v>4.2788680967594814</v>
      </c>
      <c r="I24" s="15">
        <f t="shared" si="2"/>
        <v>2.1337126600284364</v>
      </c>
      <c r="J24" s="153">
        <v>9362</v>
      </c>
      <c r="K24" s="215">
        <f>J24+34</f>
        <v>9396</v>
      </c>
      <c r="L24" s="215">
        <f>K24+72+26</f>
        <v>9494</v>
      </c>
      <c r="M24" s="215">
        <f>L24+49+29+9</f>
        <v>9581</v>
      </c>
      <c r="N24" s="15">
        <f t="shared" si="3"/>
        <v>0.29997857295907693</v>
      </c>
      <c r="O24" s="15">
        <f t="shared" si="4"/>
        <v>0.66423826869508673</v>
      </c>
      <c r="P24" s="15">
        <f t="shared" si="5"/>
        <v>1.714163274051856</v>
      </c>
      <c r="Q24" s="15">
        <f t="shared" si="6"/>
        <v>2.6462395543175603</v>
      </c>
    </row>
    <row r="25" spans="1:19" x14ac:dyDescent="0.2">
      <c r="A25" s="3"/>
      <c r="B25" s="2" t="s">
        <v>43</v>
      </c>
      <c r="C25" s="63" t="s">
        <v>94</v>
      </c>
      <c r="D25" s="3">
        <v>70</v>
      </c>
      <c r="E25" s="64">
        <v>70</v>
      </c>
      <c r="F25" s="64">
        <v>70</v>
      </c>
      <c r="G25" s="215">
        <f t="shared" si="0"/>
        <v>70</v>
      </c>
      <c r="H25" s="27">
        <f t="shared" si="1"/>
        <v>0</v>
      </c>
      <c r="I25" s="15">
        <f t="shared" si="2"/>
        <v>0</v>
      </c>
      <c r="J25" s="153">
        <v>70</v>
      </c>
      <c r="K25" s="92">
        <v>70</v>
      </c>
      <c r="L25" s="92">
        <f>K25</f>
        <v>70</v>
      </c>
      <c r="M25" s="92">
        <f>L25</f>
        <v>70</v>
      </c>
      <c r="N25" s="15">
        <f t="shared" si="3"/>
        <v>0</v>
      </c>
      <c r="O25" s="15">
        <f t="shared" si="4"/>
        <v>0</v>
      </c>
      <c r="P25" s="15">
        <f t="shared" si="5"/>
        <v>0</v>
      </c>
      <c r="Q25" s="15">
        <f t="shared" si="6"/>
        <v>0</v>
      </c>
    </row>
    <row r="26" spans="1:19" x14ac:dyDescent="0.2">
      <c r="A26" s="3"/>
      <c r="B26" s="2" t="s">
        <v>44</v>
      </c>
      <c r="C26" s="63" t="s">
        <v>95</v>
      </c>
      <c r="D26" s="3">
        <v>13</v>
      </c>
      <c r="E26" s="64">
        <v>13</v>
      </c>
      <c r="F26" s="64">
        <v>13</v>
      </c>
      <c r="G26" s="215">
        <f t="shared" si="0"/>
        <v>13</v>
      </c>
      <c r="H26" s="27">
        <f t="shared" si="1"/>
        <v>0</v>
      </c>
      <c r="I26" s="15">
        <f t="shared" si="2"/>
        <v>0</v>
      </c>
      <c r="J26" s="153">
        <v>13</v>
      </c>
      <c r="K26" s="92">
        <v>13</v>
      </c>
      <c r="L26" s="92">
        <f>K26</f>
        <v>13</v>
      </c>
      <c r="M26" s="92">
        <f>L26</f>
        <v>13</v>
      </c>
      <c r="N26" s="15">
        <f t="shared" si="3"/>
        <v>0</v>
      </c>
      <c r="O26" s="15">
        <f t="shared" si="4"/>
        <v>0</v>
      </c>
      <c r="P26" s="15">
        <f t="shared" si="5"/>
        <v>0</v>
      </c>
      <c r="Q26" s="15">
        <f t="shared" si="6"/>
        <v>0</v>
      </c>
    </row>
    <row r="27" spans="1:19" x14ac:dyDescent="0.2">
      <c r="A27" s="3"/>
      <c r="B27" s="2" t="s">
        <v>46</v>
      </c>
      <c r="C27" s="63" t="s">
        <v>96</v>
      </c>
      <c r="D27" s="3">
        <v>9022</v>
      </c>
      <c r="E27" s="64">
        <v>9340</v>
      </c>
      <c r="F27" s="64">
        <v>9587</v>
      </c>
      <c r="G27" s="215">
        <f t="shared" si="0"/>
        <v>9746</v>
      </c>
      <c r="H27" s="27">
        <f t="shared" si="1"/>
        <v>3.5247173575703812</v>
      </c>
      <c r="I27" s="15">
        <f t="shared" si="2"/>
        <v>2.6445396145610403</v>
      </c>
      <c r="J27" s="153">
        <v>9608</v>
      </c>
      <c r="K27" s="215">
        <f>J27+25</f>
        <v>9633</v>
      </c>
      <c r="L27" s="215">
        <f>K27+33+16</f>
        <v>9682</v>
      </c>
      <c r="M27" s="215">
        <f>L27+10+28+26</f>
        <v>9746</v>
      </c>
      <c r="N27" s="15">
        <f t="shared" si="3"/>
        <v>0.21904662563889588</v>
      </c>
      <c r="O27" s="15">
        <f t="shared" si="4"/>
        <v>0.47981641806613595</v>
      </c>
      <c r="P27" s="15">
        <f t="shared" si="5"/>
        <v>0.9909252112235265</v>
      </c>
      <c r="Q27" s="15">
        <f t="shared" si="6"/>
        <v>1.6584958798372895</v>
      </c>
    </row>
    <row r="28" spans="1:19" x14ac:dyDescent="0.2">
      <c r="A28" s="3"/>
      <c r="B28" s="2" t="s">
        <v>47</v>
      </c>
      <c r="C28" s="63" t="s">
        <v>97</v>
      </c>
      <c r="D28" s="3">
        <v>19</v>
      </c>
      <c r="E28" s="64">
        <v>19</v>
      </c>
      <c r="F28" s="64">
        <v>19</v>
      </c>
      <c r="G28" s="215">
        <f t="shared" si="0"/>
        <v>19</v>
      </c>
      <c r="H28" s="27">
        <f t="shared" si="1"/>
        <v>0</v>
      </c>
      <c r="I28" s="15">
        <f t="shared" si="2"/>
        <v>0</v>
      </c>
      <c r="J28" s="153">
        <v>19</v>
      </c>
      <c r="K28" s="92">
        <v>19</v>
      </c>
      <c r="L28" s="92">
        <f>K28</f>
        <v>19</v>
      </c>
      <c r="M28" s="92">
        <f>L28</f>
        <v>19</v>
      </c>
      <c r="N28" s="15">
        <f t="shared" si="3"/>
        <v>0</v>
      </c>
      <c r="O28" s="15">
        <f t="shared" si="4"/>
        <v>0</v>
      </c>
      <c r="P28" s="15">
        <f t="shared" si="5"/>
        <v>0</v>
      </c>
      <c r="Q28" s="15">
        <f t="shared" si="6"/>
        <v>0</v>
      </c>
    </row>
    <row r="29" spans="1:19" x14ac:dyDescent="0.2">
      <c r="A29" s="3"/>
      <c r="B29" s="2" t="s">
        <v>50</v>
      </c>
      <c r="C29" s="65" t="s">
        <v>98</v>
      </c>
      <c r="D29" s="17">
        <v>727</v>
      </c>
      <c r="E29" s="66">
        <v>796</v>
      </c>
      <c r="F29" s="64">
        <v>918</v>
      </c>
      <c r="G29" s="216">
        <f t="shared" si="0"/>
        <v>967</v>
      </c>
      <c r="H29" s="27">
        <f t="shared" si="1"/>
        <v>9.4910591471802093</v>
      </c>
      <c r="I29" s="15">
        <f t="shared" si="2"/>
        <v>15.326633165829136</v>
      </c>
      <c r="J29" s="154">
        <v>925</v>
      </c>
      <c r="K29" s="216">
        <f>J29+8</f>
        <v>933</v>
      </c>
      <c r="L29" s="216">
        <f>K29+15+8</f>
        <v>956</v>
      </c>
      <c r="M29" s="216">
        <f>L29+1+5+5</f>
        <v>967</v>
      </c>
      <c r="N29" s="15">
        <f t="shared" si="3"/>
        <v>0.76252723311547754</v>
      </c>
      <c r="O29" s="15">
        <f t="shared" si="4"/>
        <v>1.6339869281045765</v>
      </c>
      <c r="P29" s="15">
        <f t="shared" si="5"/>
        <v>4.1394335511982518</v>
      </c>
      <c r="Q29" s="15">
        <f t="shared" si="6"/>
        <v>5.337690631808286</v>
      </c>
    </row>
    <row r="30" spans="1:19" s="28" customFormat="1" x14ac:dyDescent="0.2">
      <c r="A30" s="23"/>
      <c r="B30" s="67"/>
      <c r="C30" s="25" t="s">
        <v>41</v>
      </c>
      <c r="D30" s="26">
        <f>SUM(D22:D29)</f>
        <v>19007</v>
      </c>
      <c r="E30" s="26">
        <f t="shared" ref="E30" si="10">SUM(E22:E29)</f>
        <v>19789</v>
      </c>
      <c r="F30" s="150">
        <f>SUM(F22:F29)</f>
        <v>20371</v>
      </c>
      <c r="G30" s="26">
        <f t="shared" si="0"/>
        <v>20837</v>
      </c>
      <c r="H30" s="27">
        <f t="shared" si="1"/>
        <v>4.1142736886410347</v>
      </c>
      <c r="I30" s="15">
        <f t="shared" si="2"/>
        <v>2.9410278437515842</v>
      </c>
      <c r="J30" s="152">
        <f>SUM(J22:J29)</f>
        <v>20428</v>
      </c>
      <c r="K30" s="26">
        <f>SUM(K22:K29)</f>
        <v>20497</v>
      </c>
      <c r="L30" s="26">
        <f>SUM(L22:L29)</f>
        <v>20672</v>
      </c>
      <c r="M30" s="26">
        <f>SUM(M22:M29)</f>
        <v>20837</v>
      </c>
      <c r="N30" s="15">
        <f t="shared" si="3"/>
        <v>0.27980953315989154</v>
      </c>
      <c r="O30" s="15">
        <f t="shared" si="4"/>
        <v>0.61852633645868593</v>
      </c>
      <c r="P30" s="15">
        <f t="shared" si="5"/>
        <v>1.4775906926513187</v>
      </c>
      <c r="Q30" s="15">
        <f t="shared" si="6"/>
        <v>2.2875656570615206</v>
      </c>
      <c r="R30" s="37"/>
      <c r="S30" s="37"/>
    </row>
    <row r="31" spans="1:19" ht="27" customHeight="1" x14ac:dyDescent="0.25">
      <c r="A31" s="68" t="s">
        <v>44</v>
      </c>
      <c r="B31" s="169" t="s">
        <v>45</v>
      </c>
      <c r="C31" s="170"/>
      <c r="D31" s="69"/>
      <c r="E31" s="70"/>
      <c r="F31" s="148"/>
      <c r="G31" s="70">
        <f t="shared" si="0"/>
        <v>0</v>
      </c>
      <c r="H31" s="27"/>
      <c r="I31" s="15"/>
      <c r="J31" s="156"/>
      <c r="K31" s="70"/>
      <c r="L31" s="22" t="s">
        <v>118</v>
      </c>
      <c r="M31" s="70"/>
      <c r="N31" s="15"/>
      <c r="O31" s="15"/>
      <c r="P31" s="15"/>
      <c r="Q31" s="15"/>
    </row>
    <row r="32" spans="1:19" x14ac:dyDescent="0.2">
      <c r="A32" s="3"/>
      <c r="B32" s="2" t="s">
        <v>49</v>
      </c>
      <c r="C32" s="71" t="s">
        <v>56</v>
      </c>
      <c r="D32" s="70">
        <v>1240</v>
      </c>
      <c r="E32" s="70">
        <v>1242</v>
      </c>
      <c r="F32" s="148">
        <v>1242</v>
      </c>
      <c r="G32" s="70">
        <f t="shared" si="0"/>
        <v>1250</v>
      </c>
      <c r="H32" s="27">
        <f t="shared" si="1"/>
        <v>0.16129032258065479</v>
      </c>
      <c r="I32" s="15">
        <f t="shared" si="2"/>
        <v>0</v>
      </c>
      <c r="J32" s="156">
        <v>1242</v>
      </c>
      <c r="K32" s="70">
        <f>J32</f>
        <v>1242</v>
      </c>
      <c r="L32" s="22">
        <f>K32+4</f>
        <v>1246</v>
      </c>
      <c r="M32" s="70">
        <f>L32+4</f>
        <v>1250</v>
      </c>
      <c r="N32" s="15">
        <f t="shared" si="3"/>
        <v>0</v>
      </c>
      <c r="O32" s="15">
        <f t="shared" si="4"/>
        <v>0</v>
      </c>
      <c r="P32" s="15">
        <f t="shared" si="5"/>
        <v>0.32206119162640334</v>
      </c>
      <c r="Q32" s="15">
        <f t="shared" si="6"/>
        <v>0.6441223832528209</v>
      </c>
    </row>
    <row r="33" spans="1:17" x14ac:dyDescent="0.2">
      <c r="A33" s="3"/>
      <c r="B33" s="2" t="s">
        <v>38</v>
      </c>
      <c r="C33" s="71" t="s">
        <v>57</v>
      </c>
      <c r="D33" s="70">
        <v>630</v>
      </c>
      <c r="E33" s="70">
        <v>635</v>
      </c>
      <c r="F33" s="148">
        <v>639</v>
      </c>
      <c r="G33" s="70">
        <f t="shared" si="0"/>
        <v>646</v>
      </c>
      <c r="H33" s="27">
        <f t="shared" si="1"/>
        <v>0.79365079365078373</v>
      </c>
      <c r="I33" s="15">
        <f t="shared" si="2"/>
        <v>0.62992125984251857</v>
      </c>
      <c r="J33" s="156">
        <v>641</v>
      </c>
      <c r="K33" s="70">
        <f>J33</f>
        <v>641</v>
      </c>
      <c r="L33" s="22">
        <f>K33+1+1</f>
        <v>643</v>
      </c>
      <c r="M33" s="70">
        <f>L33+3</f>
        <v>646</v>
      </c>
      <c r="N33" s="15">
        <f t="shared" si="3"/>
        <v>0.31298904538341787</v>
      </c>
      <c r="O33" s="15">
        <f t="shared" si="4"/>
        <v>0.31298904538341787</v>
      </c>
      <c r="P33" s="15">
        <f t="shared" si="5"/>
        <v>0.62597809076683575</v>
      </c>
      <c r="Q33" s="15">
        <f t="shared" si="6"/>
        <v>1.0954616588419412</v>
      </c>
    </row>
    <row r="34" spans="1:17" x14ac:dyDescent="0.2">
      <c r="A34" s="3"/>
      <c r="B34" s="2" t="s">
        <v>42</v>
      </c>
      <c r="C34" s="71" t="s">
        <v>58</v>
      </c>
      <c r="D34" s="70">
        <v>1789</v>
      </c>
      <c r="E34" s="70">
        <v>1799</v>
      </c>
      <c r="F34" s="148">
        <v>1804</v>
      </c>
      <c r="G34" s="70">
        <f t="shared" si="0"/>
        <v>1809</v>
      </c>
      <c r="H34" s="27">
        <f t="shared" si="1"/>
        <v>0.55897149245387823</v>
      </c>
      <c r="I34" s="15">
        <f t="shared" si="2"/>
        <v>0.27793218454696955</v>
      </c>
      <c r="J34" s="156">
        <v>1804</v>
      </c>
      <c r="K34" s="70">
        <f>J34</f>
        <v>1804</v>
      </c>
      <c r="L34" s="22">
        <f>K34+4</f>
        <v>1808</v>
      </c>
      <c r="M34" s="70">
        <f>L34+1</f>
        <v>1809</v>
      </c>
      <c r="N34" s="15">
        <f t="shared" si="3"/>
        <v>0</v>
      </c>
      <c r="O34" s="15">
        <f t="shared" si="4"/>
        <v>0</v>
      </c>
      <c r="P34" s="15">
        <f t="shared" si="5"/>
        <v>0.22172949002217024</v>
      </c>
      <c r="Q34" s="15">
        <f t="shared" si="6"/>
        <v>0.27716186252770569</v>
      </c>
    </row>
    <row r="35" spans="1:17" x14ac:dyDescent="0.2">
      <c r="A35" s="3"/>
      <c r="B35" s="2" t="s">
        <v>43</v>
      </c>
      <c r="C35" s="71" t="s">
        <v>59</v>
      </c>
      <c r="D35" s="70">
        <v>291</v>
      </c>
      <c r="E35" s="70">
        <v>292</v>
      </c>
      <c r="F35" s="148">
        <v>294</v>
      </c>
      <c r="G35" s="70">
        <f t="shared" si="0"/>
        <v>299</v>
      </c>
      <c r="H35" s="27">
        <f t="shared" si="1"/>
        <v>0.34364261168384758</v>
      </c>
      <c r="I35" s="15">
        <f t="shared" si="2"/>
        <v>0.68493150684932402</v>
      </c>
      <c r="J35" s="156">
        <v>295</v>
      </c>
      <c r="K35" s="70">
        <f>J35+1</f>
        <v>296</v>
      </c>
      <c r="L35" s="22">
        <f>K35+2</f>
        <v>298</v>
      </c>
      <c r="M35" s="70">
        <f>L35+1</f>
        <v>299</v>
      </c>
      <c r="N35" s="15">
        <f t="shared" si="3"/>
        <v>0.34013605442176242</v>
      </c>
      <c r="O35" s="15">
        <f t="shared" si="4"/>
        <v>0.68027210884353906</v>
      </c>
      <c r="P35" s="15">
        <f t="shared" si="5"/>
        <v>1.3605442176870781</v>
      </c>
      <c r="Q35" s="15">
        <f t="shared" si="6"/>
        <v>1.7006802721088405</v>
      </c>
    </row>
    <row r="36" spans="1:17" x14ac:dyDescent="0.2">
      <c r="A36" s="3"/>
      <c r="B36" s="2" t="s">
        <v>44</v>
      </c>
      <c r="C36" s="71" t="s">
        <v>60</v>
      </c>
      <c r="D36" s="70">
        <v>1031</v>
      </c>
      <c r="E36" s="70">
        <v>1039</v>
      </c>
      <c r="F36" s="148">
        <v>1042</v>
      </c>
      <c r="G36" s="70">
        <f t="shared" si="0"/>
        <v>1048</v>
      </c>
      <c r="H36" s="27">
        <f t="shared" si="1"/>
        <v>0.77594568380212081</v>
      </c>
      <c r="I36" s="15">
        <f t="shared" si="2"/>
        <v>0.28873917228105483</v>
      </c>
      <c r="J36" s="156">
        <v>1042</v>
      </c>
      <c r="K36" s="70">
        <f>J36</f>
        <v>1042</v>
      </c>
      <c r="L36" s="22">
        <f>K36+3+1</f>
        <v>1046</v>
      </c>
      <c r="M36" s="70">
        <f>L36+2</f>
        <v>1048</v>
      </c>
      <c r="N36" s="15">
        <f t="shared" si="3"/>
        <v>0</v>
      </c>
      <c r="O36" s="15">
        <f t="shared" si="4"/>
        <v>0</v>
      </c>
      <c r="P36" s="15">
        <f t="shared" si="5"/>
        <v>0.3838771593090371</v>
      </c>
      <c r="Q36" s="15">
        <f t="shared" si="6"/>
        <v>0.57581573896352722</v>
      </c>
    </row>
    <row r="37" spans="1:17" x14ac:dyDescent="0.2">
      <c r="A37" s="3"/>
      <c r="B37" s="2" t="s">
        <v>46</v>
      </c>
      <c r="C37" s="71" t="s">
        <v>61</v>
      </c>
      <c r="D37" s="70">
        <v>892</v>
      </c>
      <c r="E37" s="70">
        <v>893</v>
      </c>
      <c r="F37" s="148">
        <v>901</v>
      </c>
      <c r="G37" s="70">
        <f t="shared" si="0"/>
        <v>909</v>
      </c>
      <c r="H37" s="27">
        <f t="shared" si="1"/>
        <v>0.11210762331839419</v>
      </c>
      <c r="I37" s="15">
        <f t="shared" si="2"/>
        <v>0.89585666293392308</v>
      </c>
      <c r="J37" s="156">
        <v>901</v>
      </c>
      <c r="K37" s="70">
        <f>J37+2</f>
        <v>903</v>
      </c>
      <c r="L37" s="22">
        <f>K37+3</f>
        <v>906</v>
      </c>
      <c r="M37" s="70">
        <f>L37+2+1</f>
        <v>909</v>
      </c>
      <c r="N37" s="15">
        <f t="shared" si="3"/>
        <v>0</v>
      </c>
      <c r="O37" s="15">
        <f t="shared" si="4"/>
        <v>0.22197558268590001</v>
      </c>
      <c r="P37" s="15">
        <f t="shared" si="5"/>
        <v>0.55493895671476423</v>
      </c>
      <c r="Q37" s="15">
        <f t="shared" si="6"/>
        <v>0.88790233074362845</v>
      </c>
    </row>
    <row r="38" spans="1:17" x14ac:dyDescent="0.2">
      <c r="A38" s="3"/>
      <c r="B38" s="2" t="s">
        <v>47</v>
      </c>
      <c r="C38" s="71" t="s">
        <v>62</v>
      </c>
      <c r="D38" s="70">
        <v>726</v>
      </c>
      <c r="E38" s="70">
        <v>732</v>
      </c>
      <c r="F38" s="148">
        <v>734</v>
      </c>
      <c r="G38" s="70">
        <f t="shared" si="0"/>
        <v>743</v>
      </c>
      <c r="H38" s="27">
        <f t="shared" si="1"/>
        <v>0.8264462809917319</v>
      </c>
      <c r="I38" s="15">
        <f t="shared" si="2"/>
        <v>0.27322404371584241</v>
      </c>
      <c r="J38" s="156">
        <v>735</v>
      </c>
      <c r="K38" s="70">
        <f>J38+2</f>
        <v>737</v>
      </c>
      <c r="L38" s="22">
        <f>K38+3</f>
        <v>740</v>
      </c>
      <c r="M38" s="70">
        <f>L38+2+1</f>
        <v>743</v>
      </c>
      <c r="N38" s="15">
        <f t="shared" si="3"/>
        <v>0.13623978201636078</v>
      </c>
      <c r="O38" s="15">
        <f t="shared" si="4"/>
        <v>0.40871934604905391</v>
      </c>
      <c r="P38" s="15">
        <f t="shared" si="5"/>
        <v>0.81743869209809361</v>
      </c>
      <c r="Q38" s="15">
        <f t="shared" si="6"/>
        <v>1.2261580381471333</v>
      </c>
    </row>
    <row r="39" spans="1:17" x14ac:dyDescent="0.2">
      <c r="A39" s="3"/>
      <c r="B39" s="2" t="s">
        <v>50</v>
      </c>
      <c r="C39" s="71" t="s">
        <v>63</v>
      </c>
      <c r="D39" s="70">
        <v>355</v>
      </c>
      <c r="E39" s="70">
        <v>367</v>
      </c>
      <c r="F39" s="148">
        <v>372</v>
      </c>
      <c r="G39" s="70">
        <f t="shared" si="0"/>
        <v>380</v>
      </c>
      <c r="H39" s="27">
        <f t="shared" si="1"/>
        <v>3.3802816901408335</v>
      </c>
      <c r="I39" s="15">
        <f t="shared" si="2"/>
        <v>1.3623978201634941</v>
      </c>
      <c r="J39" s="156">
        <v>373</v>
      </c>
      <c r="K39" s="70">
        <f>J39+3</f>
        <v>376</v>
      </c>
      <c r="L39" s="22">
        <f>K39+1</f>
        <v>377</v>
      </c>
      <c r="M39" s="70">
        <f>L39+2+1</f>
        <v>380</v>
      </c>
      <c r="N39" s="15">
        <f t="shared" si="3"/>
        <v>0.26881720430107237</v>
      </c>
      <c r="O39" s="15">
        <f t="shared" si="4"/>
        <v>1.0752688172043037</v>
      </c>
      <c r="P39" s="15">
        <f t="shared" si="5"/>
        <v>1.344086021505376</v>
      </c>
      <c r="Q39" s="15">
        <f t="shared" si="6"/>
        <v>2.1505376344086073</v>
      </c>
    </row>
    <row r="40" spans="1:17" x14ac:dyDescent="0.2">
      <c r="A40" s="3"/>
      <c r="B40" s="2" t="s">
        <v>51</v>
      </c>
      <c r="C40" s="71" t="s">
        <v>64</v>
      </c>
      <c r="D40" s="70">
        <v>453</v>
      </c>
      <c r="E40" s="70">
        <v>455</v>
      </c>
      <c r="F40" s="148">
        <v>457</v>
      </c>
      <c r="G40" s="70">
        <f t="shared" si="0"/>
        <v>461</v>
      </c>
      <c r="H40" s="27">
        <f t="shared" si="1"/>
        <v>0.44150110375275631</v>
      </c>
      <c r="I40" s="15">
        <f t="shared" si="2"/>
        <v>0.439560439560438</v>
      </c>
      <c r="J40" s="156">
        <v>458</v>
      </c>
      <c r="K40" s="70">
        <f>J40</f>
        <v>458</v>
      </c>
      <c r="L40" s="22">
        <f>K40+3</f>
        <v>461</v>
      </c>
      <c r="M40" s="70">
        <f>L40</f>
        <v>461</v>
      </c>
      <c r="N40" s="15">
        <f t="shared" si="3"/>
        <v>0.21881838074398274</v>
      </c>
      <c r="O40" s="15">
        <f t="shared" si="4"/>
        <v>0.21881838074398274</v>
      </c>
      <c r="P40" s="15">
        <f t="shared" si="5"/>
        <v>0.87527352297594518</v>
      </c>
      <c r="Q40" s="15">
        <f t="shared" si="6"/>
        <v>0.87527352297594518</v>
      </c>
    </row>
    <row r="41" spans="1:17" x14ac:dyDescent="0.2">
      <c r="A41" s="3"/>
      <c r="B41" s="2" t="s">
        <v>80</v>
      </c>
      <c r="C41" s="71" t="s">
        <v>65</v>
      </c>
      <c r="D41" s="70">
        <v>446</v>
      </c>
      <c r="E41" s="70">
        <v>466</v>
      </c>
      <c r="F41" s="148">
        <v>483</v>
      </c>
      <c r="G41" s="70">
        <f t="shared" ref="G41:G68" si="11">M41</f>
        <v>492</v>
      </c>
      <c r="H41" s="27">
        <f t="shared" si="1"/>
        <v>4.4843049327354123</v>
      </c>
      <c r="I41" s="15">
        <f t="shared" si="2"/>
        <v>3.6480686695278877</v>
      </c>
      <c r="J41" s="156">
        <v>484</v>
      </c>
      <c r="K41" s="70">
        <f>J41+2</f>
        <v>486</v>
      </c>
      <c r="L41" s="22">
        <f>K41+2+1</f>
        <v>489</v>
      </c>
      <c r="M41" s="70">
        <f>L41+2+1</f>
        <v>492</v>
      </c>
      <c r="N41" s="15">
        <f t="shared" si="3"/>
        <v>0.20703933747412862</v>
      </c>
      <c r="O41" s="15">
        <f t="shared" si="4"/>
        <v>0.62111801242235742</v>
      </c>
      <c r="P41" s="15">
        <f t="shared" si="5"/>
        <v>1.2422360248447291</v>
      </c>
      <c r="Q41" s="15">
        <f t="shared" si="6"/>
        <v>1.8633540372670723</v>
      </c>
    </row>
    <row r="42" spans="1:17" x14ac:dyDescent="0.2">
      <c r="A42" s="3"/>
      <c r="B42" s="2" t="s">
        <v>52</v>
      </c>
      <c r="C42" s="71" t="s">
        <v>66</v>
      </c>
      <c r="D42" s="70">
        <v>1435</v>
      </c>
      <c r="E42" s="70">
        <v>1454</v>
      </c>
      <c r="F42" s="148">
        <v>1456</v>
      </c>
      <c r="G42" s="70">
        <f t="shared" si="11"/>
        <v>1464</v>
      </c>
      <c r="H42" s="27">
        <f t="shared" si="1"/>
        <v>1.3240418118466835</v>
      </c>
      <c r="I42" s="15">
        <f t="shared" si="2"/>
        <v>0.13755158184318361</v>
      </c>
      <c r="J42" s="156">
        <v>1457</v>
      </c>
      <c r="K42" s="70">
        <f>J42</f>
        <v>1457</v>
      </c>
      <c r="L42" s="22">
        <f>K42+2+1</f>
        <v>1460</v>
      </c>
      <c r="M42" s="70">
        <f>L42+4</f>
        <v>1464</v>
      </c>
      <c r="N42" s="15">
        <f t="shared" si="3"/>
        <v>6.8681318681313996E-2</v>
      </c>
      <c r="O42" s="15">
        <f t="shared" si="4"/>
        <v>6.8681318681313996E-2</v>
      </c>
      <c r="P42" s="15">
        <f t="shared" si="5"/>
        <v>0.2747252747252702</v>
      </c>
      <c r="Q42" s="15">
        <f t="shared" si="6"/>
        <v>0.54945054945054039</v>
      </c>
    </row>
    <row r="43" spans="1:17" x14ac:dyDescent="0.2">
      <c r="A43" s="3"/>
      <c r="B43" s="2" t="s">
        <v>53</v>
      </c>
      <c r="C43" s="71" t="s">
        <v>67</v>
      </c>
      <c r="D43" s="70">
        <v>356</v>
      </c>
      <c r="E43" s="70">
        <v>368</v>
      </c>
      <c r="F43" s="148">
        <v>376</v>
      </c>
      <c r="G43" s="70">
        <f t="shared" si="11"/>
        <v>384</v>
      </c>
      <c r="H43" s="27">
        <f t="shared" si="1"/>
        <v>3.3707865168539399</v>
      </c>
      <c r="I43" s="15">
        <f t="shared" si="2"/>
        <v>2.1739130434782652</v>
      </c>
      <c r="J43" s="156">
        <v>378</v>
      </c>
      <c r="K43" s="70">
        <f>J43</f>
        <v>378</v>
      </c>
      <c r="L43" s="22">
        <f>K43+4</f>
        <v>382</v>
      </c>
      <c r="M43" s="70">
        <f>L43+2</f>
        <v>384</v>
      </c>
      <c r="N43" s="15">
        <f t="shared" si="3"/>
        <v>0.53191489361701372</v>
      </c>
      <c r="O43" s="15">
        <f t="shared" si="4"/>
        <v>0.53191489361701372</v>
      </c>
      <c r="P43" s="15">
        <f t="shared" si="5"/>
        <v>1.5957446808510696</v>
      </c>
      <c r="Q43" s="15">
        <f t="shared" si="6"/>
        <v>2.1276595744680833</v>
      </c>
    </row>
    <row r="44" spans="1:17" x14ac:dyDescent="0.2">
      <c r="A44" s="3"/>
      <c r="B44" s="2" t="s">
        <v>54</v>
      </c>
      <c r="C44" s="71" t="s">
        <v>68</v>
      </c>
      <c r="D44" s="70">
        <v>398</v>
      </c>
      <c r="E44" s="70">
        <v>400</v>
      </c>
      <c r="F44" s="148">
        <v>400</v>
      </c>
      <c r="G44" s="70">
        <f t="shared" si="11"/>
        <v>400</v>
      </c>
      <c r="H44" s="27">
        <f t="shared" si="1"/>
        <v>0.50251256281406143</v>
      </c>
      <c r="I44" s="15">
        <f t="shared" si="2"/>
        <v>0</v>
      </c>
      <c r="J44" s="156">
        <v>400</v>
      </c>
      <c r="K44" s="70">
        <f>J44</f>
        <v>400</v>
      </c>
      <c r="L44" s="22">
        <f>K44</f>
        <v>400</v>
      </c>
      <c r="M44" s="70">
        <f>L44</f>
        <v>400</v>
      </c>
      <c r="N44" s="15">
        <f t="shared" si="3"/>
        <v>0</v>
      </c>
      <c r="O44" s="15">
        <f t="shared" si="4"/>
        <v>0</v>
      </c>
      <c r="P44" s="15">
        <f t="shared" si="5"/>
        <v>0</v>
      </c>
      <c r="Q44" s="15">
        <f t="shared" si="6"/>
        <v>0</v>
      </c>
    </row>
    <row r="45" spans="1:17" x14ac:dyDescent="0.2">
      <c r="A45" s="3"/>
      <c r="B45" s="2" t="s">
        <v>55</v>
      </c>
      <c r="C45" s="71" t="s">
        <v>69</v>
      </c>
      <c r="D45" s="70">
        <v>321</v>
      </c>
      <c r="E45" s="70">
        <v>360</v>
      </c>
      <c r="F45" s="148">
        <v>398</v>
      </c>
      <c r="G45" s="70">
        <f t="shared" si="11"/>
        <v>430</v>
      </c>
      <c r="H45" s="27">
        <f t="shared" si="1"/>
        <v>12.149532710280369</v>
      </c>
      <c r="I45" s="15">
        <f t="shared" si="2"/>
        <v>10.555555555555557</v>
      </c>
      <c r="J45" s="156">
        <v>400</v>
      </c>
      <c r="K45" s="70">
        <f>J45+5</f>
        <v>405</v>
      </c>
      <c r="L45" s="22">
        <f>K45+11+6</f>
        <v>422</v>
      </c>
      <c r="M45" s="70">
        <f>L45+5+3</f>
        <v>430</v>
      </c>
      <c r="N45" s="15">
        <f t="shared" si="3"/>
        <v>0.50251256281406143</v>
      </c>
      <c r="O45" s="15">
        <f t="shared" si="4"/>
        <v>1.7587939698492363</v>
      </c>
      <c r="P45" s="15">
        <f t="shared" si="5"/>
        <v>6.0301507537688508</v>
      </c>
      <c r="Q45" s="15">
        <f t="shared" si="6"/>
        <v>8.0402010050251107</v>
      </c>
    </row>
    <row r="46" spans="1:17" x14ac:dyDescent="0.2">
      <c r="A46" s="3"/>
      <c r="B46" s="2" t="s">
        <v>81</v>
      </c>
      <c r="C46" s="71" t="s">
        <v>70</v>
      </c>
      <c r="D46" s="70">
        <v>1220</v>
      </c>
      <c r="E46" s="70">
        <v>1290</v>
      </c>
      <c r="F46" s="148">
        <v>1347</v>
      </c>
      <c r="G46" s="70">
        <f t="shared" si="11"/>
        <v>1386</v>
      </c>
      <c r="H46" s="27">
        <f t="shared" si="1"/>
        <v>5.7377049180327759</v>
      </c>
      <c r="I46" s="15">
        <f t="shared" si="2"/>
        <v>4.418604651162795</v>
      </c>
      <c r="J46" s="156">
        <v>1352</v>
      </c>
      <c r="K46" s="70">
        <f>J46+10</f>
        <v>1362</v>
      </c>
      <c r="L46" s="22">
        <f>K46+11+2</f>
        <v>1375</v>
      </c>
      <c r="M46" s="70">
        <f>L46+2+5+4</f>
        <v>1386</v>
      </c>
      <c r="N46" s="15">
        <f t="shared" si="3"/>
        <v>0.37119524870081477</v>
      </c>
      <c r="O46" s="15">
        <f t="shared" si="4"/>
        <v>1.1135857461024585</v>
      </c>
      <c r="P46" s="15">
        <f t="shared" si="5"/>
        <v>2.0786933927245741</v>
      </c>
      <c r="Q46" s="15">
        <f t="shared" si="6"/>
        <v>2.8953229398663609</v>
      </c>
    </row>
    <row r="47" spans="1:17" x14ac:dyDescent="0.2">
      <c r="A47" s="3"/>
      <c r="B47" s="2" t="s">
        <v>82</v>
      </c>
      <c r="C47" s="71" t="s">
        <v>71</v>
      </c>
      <c r="D47" s="70">
        <v>843</v>
      </c>
      <c r="E47" s="70">
        <v>874</v>
      </c>
      <c r="F47" s="148">
        <v>890</v>
      </c>
      <c r="G47" s="70">
        <f t="shared" si="11"/>
        <v>914</v>
      </c>
      <c r="H47" s="27">
        <f t="shared" si="1"/>
        <v>3.6773428232502994</v>
      </c>
      <c r="I47" s="15">
        <f t="shared" si="2"/>
        <v>1.8306636155606384</v>
      </c>
      <c r="J47" s="156">
        <v>890</v>
      </c>
      <c r="K47" s="70">
        <f>J47+3</f>
        <v>893</v>
      </c>
      <c r="L47" s="22">
        <f>K47+14+4</f>
        <v>911</v>
      </c>
      <c r="M47" s="70">
        <f>L47+3</f>
        <v>914</v>
      </c>
      <c r="N47" s="15">
        <f t="shared" si="3"/>
        <v>0</v>
      </c>
      <c r="O47" s="15">
        <f t="shared" si="4"/>
        <v>0.33707865168540252</v>
      </c>
      <c r="P47" s="15">
        <f t="shared" si="5"/>
        <v>2.3595505617977466</v>
      </c>
      <c r="Q47" s="15">
        <f t="shared" si="6"/>
        <v>2.6966292134831491</v>
      </c>
    </row>
    <row r="48" spans="1:17" x14ac:dyDescent="0.2">
      <c r="A48" s="3"/>
      <c r="B48" s="2" t="s">
        <v>83</v>
      </c>
      <c r="C48" s="71" t="s">
        <v>72</v>
      </c>
      <c r="D48" s="70">
        <v>337</v>
      </c>
      <c r="E48" s="70">
        <v>349</v>
      </c>
      <c r="F48" s="148">
        <v>354</v>
      </c>
      <c r="G48" s="70">
        <f t="shared" si="11"/>
        <v>367</v>
      </c>
      <c r="H48" s="27">
        <f t="shared" si="1"/>
        <v>3.5608308605341108</v>
      </c>
      <c r="I48" s="15">
        <f t="shared" si="2"/>
        <v>1.4326647564469823</v>
      </c>
      <c r="J48" s="156">
        <v>356</v>
      </c>
      <c r="K48" s="70">
        <f>J48+1</f>
        <v>357</v>
      </c>
      <c r="L48" s="22">
        <f>K48+3+4</f>
        <v>364</v>
      </c>
      <c r="M48" s="70">
        <f>L48+2+1</f>
        <v>367</v>
      </c>
      <c r="N48" s="15">
        <f t="shared" si="3"/>
        <v>0.56497175141242906</v>
      </c>
      <c r="O48" s="15">
        <f t="shared" si="4"/>
        <v>0.84745762711864359</v>
      </c>
      <c r="P48" s="15">
        <f t="shared" si="5"/>
        <v>2.8248587570621595</v>
      </c>
      <c r="Q48" s="15">
        <f t="shared" si="6"/>
        <v>3.6723163841807889</v>
      </c>
    </row>
    <row r="49" spans="1:19" x14ac:dyDescent="0.2">
      <c r="A49" s="3"/>
      <c r="B49" s="2" t="s">
        <v>84</v>
      </c>
      <c r="C49" s="71" t="s">
        <v>73</v>
      </c>
      <c r="D49" s="70">
        <v>583</v>
      </c>
      <c r="E49" s="70">
        <v>594</v>
      </c>
      <c r="F49" s="148">
        <v>600</v>
      </c>
      <c r="G49" s="70">
        <f t="shared" si="11"/>
        <v>608</v>
      </c>
      <c r="H49" s="27">
        <f t="shared" si="1"/>
        <v>1.8867924528301927</v>
      </c>
      <c r="I49" s="15">
        <f t="shared" si="2"/>
        <v>1.0101010101010104</v>
      </c>
      <c r="J49" s="156">
        <v>601</v>
      </c>
      <c r="K49" s="70">
        <f>J49</f>
        <v>601</v>
      </c>
      <c r="L49" s="22">
        <f>K49+1+1</f>
        <v>603</v>
      </c>
      <c r="M49" s="70">
        <f>L49+2+3</f>
        <v>608</v>
      </c>
      <c r="N49" s="15">
        <f t="shared" si="3"/>
        <v>0.1666666666666714</v>
      </c>
      <c r="O49" s="15">
        <f t="shared" si="4"/>
        <v>0.1666666666666714</v>
      </c>
      <c r="P49" s="15">
        <f t="shared" si="5"/>
        <v>0.49999999999998579</v>
      </c>
      <c r="Q49" s="15">
        <f t="shared" si="6"/>
        <v>1.3333333333333428</v>
      </c>
    </row>
    <row r="50" spans="1:19" x14ac:dyDescent="0.2">
      <c r="A50" s="3"/>
      <c r="B50" s="2" t="s">
        <v>85</v>
      </c>
      <c r="C50" s="71" t="s">
        <v>74</v>
      </c>
      <c r="D50" s="70">
        <v>756</v>
      </c>
      <c r="E50" s="70">
        <v>775</v>
      </c>
      <c r="F50" s="148">
        <v>795</v>
      </c>
      <c r="G50" s="70">
        <f t="shared" si="11"/>
        <v>805</v>
      </c>
      <c r="H50" s="27">
        <f t="shared" si="1"/>
        <v>2.5132275132275055</v>
      </c>
      <c r="I50" s="15">
        <f t="shared" si="2"/>
        <v>2.5806451612903345</v>
      </c>
      <c r="J50" s="156">
        <v>795</v>
      </c>
      <c r="K50" s="70">
        <f>J50+3</f>
        <v>798</v>
      </c>
      <c r="L50" s="22">
        <f>K50+5+1</f>
        <v>804</v>
      </c>
      <c r="M50" s="70">
        <f>L50+1</f>
        <v>805</v>
      </c>
      <c r="N50" s="15">
        <f t="shared" si="3"/>
        <v>0</v>
      </c>
      <c r="O50" s="15">
        <f t="shared" si="4"/>
        <v>0.37735849056603854</v>
      </c>
      <c r="P50" s="15">
        <f t="shared" si="5"/>
        <v>1.1320754716981156</v>
      </c>
      <c r="Q50" s="15">
        <f t="shared" si="6"/>
        <v>1.2578616352201237</v>
      </c>
    </row>
    <row r="51" spans="1:19" x14ac:dyDescent="0.2">
      <c r="A51" s="3"/>
      <c r="B51" s="2" t="s">
        <v>86</v>
      </c>
      <c r="C51" s="71" t="s">
        <v>75</v>
      </c>
      <c r="D51" s="70">
        <v>971</v>
      </c>
      <c r="E51" s="70">
        <v>981</v>
      </c>
      <c r="F51" s="148">
        <v>989</v>
      </c>
      <c r="G51" s="70">
        <f t="shared" si="11"/>
        <v>994</v>
      </c>
      <c r="H51" s="27">
        <f t="shared" si="1"/>
        <v>1.0298661174047368</v>
      </c>
      <c r="I51" s="15">
        <f t="shared" si="2"/>
        <v>0.8154943934760297</v>
      </c>
      <c r="J51" s="156">
        <v>989</v>
      </c>
      <c r="K51" s="70">
        <f>J51</f>
        <v>989</v>
      </c>
      <c r="L51" s="22">
        <f>K51+1+1</f>
        <v>991</v>
      </c>
      <c r="M51" s="70">
        <f>L51+2+1</f>
        <v>994</v>
      </c>
      <c r="N51" s="15">
        <f t="shared" si="3"/>
        <v>0</v>
      </c>
      <c r="O51" s="15">
        <f t="shared" si="4"/>
        <v>0</v>
      </c>
      <c r="P51" s="15">
        <f t="shared" si="5"/>
        <v>0.20222446916076819</v>
      </c>
      <c r="Q51" s="15">
        <f t="shared" si="6"/>
        <v>0.50556117290192049</v>
      </c>
    </row>
    <row r="52" spans="1:19" x14ac:dyDescent="0.2">
      <c r="A52" s="3"/>
      <c r="B52" s="2" t="s">
        <v>87</v>
      </c>
      <c r="C52" s="71" t="s">
        <v>76</v>
      </c>
      <c r="D52" s="70">
        <v>594</v>
      </c>
      <c r="E52" s="70">
        <v>612</v>
      </c>
      <c r="F52" s="148">
        <v>618</v>
      </c>
      <c r="G52" s="70">
        <f t="shared" si="11"/>
        <v>634</v>
      </c>
      <c r="H52" s="27">
        <f t="shared" si="1"/>
        <v>3.0303030303030312</v>
      </c>
      <c r="I52" s="15">
        <f t="shared" si="2"/>
        <v>0.98039215686273451</v>
      </c>
      <c r="J52" s="156">
        <v>621</v>
      </c>
      <c r="K52" s="70">
        <f>J52+1</f>
        <v>622</v>
      </c>
      <c r="L52" s="22">
        <f>K52+4+2</f>
        <v>628</v>
      </c>
      <c r="M52" s="70">
        <f>L52+3+3</f>
        <v>634</v>
      </c>
      <c r="N52" s="15">
        <f t="shared" si="3"/>
        <v>0.48543689320388239</v>
      </c>
      <c r="O52" s="15">
        <f t="shared" si="4"/>
        <v>0.64724919093850986</v>
      </c>
      <c r="P52" s="15">
        <f t="shared" si="5"/>
        <v>1.6181229773462746</v>
      </c>
      <c r="Q52" s="15">
        <f t="shared" si="6"/>
        <v>2.5889967637540394</v>
      </c>
    </row>
    <row r="53" spans="1:19" x14ac:dyDescent="0.2">
      <c r="A53" s="3"/>
      <c r="B53" s="2" t="s">
        <v>88</v>
      </c>
      <c r="C53" s="71" t="s">
        <v>77</v>
      </c>
      <c r="D53" s="70">
        <v>1000</v>
      </c>
      <c r="E53" s="70">
        <v>1196</v>
      </c>
      <c r="F53" s="148">
        <v>1338</v>
      </c>
      <c r="G53" s="70">
        <f t="shared" si="11"/>
        <v>1427</v>
      </c>
      <c r="H53" s="27">
        <f t="shared" si="1"/>
        <v>19.599999999999994</v>
      </c>
      <c r="I53" s="15">
        <f t="shared" si="2"/>
        <v>11.872909698996665</v>
      </c>
      <c r="J53" s="156">
        <v>1350</v>
      </c>
      <c r="K53" s="70">
        <f>J53+5</f>
        <v>1355</v>
      </c>
      <c r="L53" s="22">
        <f>K53+14+13</f>
        <v>1382</v>
      </c>
      <c r="M53" s="70">
        <f>L53+6+28+11</f>
        <v>1427</v>
      </c>
      <c r="N53" s="15">
        <f t="shared" si="3"/>
        <v>0.89686098654708246</v>
      </c>
      <c r="O53" s="15">
        <f t="shared" si="4"/>
        <v>1.2705530642750347</v>
      </c>
      <c r="P53" s="15">
        <f t="shared" si="5"/>
        <v>3.2884902840059738</v>
      </c>
      <c r="Q53" s="15">
        <f t="shared" si="6"/>
        <v>6.6517189835575437</v>
      </c>
    </row>
    <row r="54" spans="1:19" x14ac:dyDescent="0.2">
      <c r="A54" s="3"/>
      <c r="B54" s="2" t="s">
        <v>89</v>
      </c>
      <c r="C54" s="71" t="s">
        <v>78</v>
      </c>
      <c r="D54" s="70">
        <v>1477</v>
      </c>
      <c r="E54" s="70">
        <v>1642</v>
      </c>
      <c r="F54" s="148">
        <v>1792</v>
      </c>
      <c r="G54" s="70">
        <f t="shared" si="11"/>
        <v>1885</v>
      </c>
      <c r="H54" s="27">
        <f t="shared" si="1"/>
        <v>11.171293161814489</v>
      </c>
      <c r="I54" s="15">
        <f t="shared" si="2"/>
        <v>9.1352009744214371</v>
      </c>
      <c r="J54" s="156">
        <v>1802</v>
      </c>
      <c r="K54" s="70">
        <f>J54+18</f>
        <v>1820</v>
      </c>
      <c r="L54" s="22">
        <f>K54+23+6</f>
        <v>1849</v>
      </c>
      <c r="M54" s="70">
        <f>L54+2+18+16</f>
        <v>1885</v>
      </c>
      <c r="N54" s="15">
        <f t="shared" si="3"/>
        <v>0.55803571428572241</v>
      </c>
      <c r="O54" s="15">
        <f t="shared" si="4"/>
        <v>1.5625</v>
      </c>
      <c r="P54" s="15">
        <f t="shared" si="5"/>
        <v>3.1808035714285836</v>
      </c>
      <c r="Q54" s="15">
        <f t="shared" si="6"/>
        <v>5.1897321428571388</v>
      </c>
    </row>
    <row r="55" spans="1:19" x14ac:dyDescent="0.2">
      <c r="A55" s="3"/>
      <c r="B55" s="18" t="s">
        <v>90</v>
      </c>
      <c r="C55" s="72" t="s">
        <v>79</v>
      </c>
      <c r="D55" s="70">
        <v>863</v>
      </c>
      <c r="E55" s="73">
        <v>974</v>
      </c>
      <c r="F55" s="148">
        <v>1050</v>
      </c>
      <c r="G55" s="73">
        <f t="shared" si="11"/>
        <v>1102</v>
      </c>
      <c r="H55" s="27">
        <f t="shared" si="1"/>
        <v>12.862108922363859</v>
      </c>
      <c r="I55" s="15">
        <f t="shared" si="2"/>
        <v>7.802874743326484</v>
      </c>
      <c r="J55" s="157">
        <v>1062</v>
      </c>
      <c r="K55" s="73">
        <f>J55+13</f>
        <v>1075</v>
      </c>
      <c r="L55" s="20">
        <f>K55+3+9</f>
        <v>1087</v>
      </c>
      <c r="M55" s="73">
        <f>L55+6+4+5</f>
        <v>1102</v>
      </c>
      <c r="N55" s="15">
        <f t="shared" si="3"/>
        <v>1.1428571428571388</v>
      </c>
      <c r="O55" s="15">
        <f t="shared" si="4"/>
        <v>2.3809523809523796</v>
      </c>
      <c r="P55" s="15">
        <f t="shared" si="5"/>
        <v>3.5238095238095326</v>
      </c>
      <c r="Q55" s="15">
        <f t="shared" si="6"/>
        <v>4.952380952380949</v>
      </c>
    </row>
    <row r="56" spans="1:19" s="75" customFormat="1" x14ac:dyDescent="0.2">
      <c r="A56" s="74"/>
      <c r="C56" s="76" t="s">
        <v>41</v>
      </c>
      <c r="D56" s="77">
        <f>SUM(D32:D55)</f>
        <v>19007</v>
      </c>
      <c r="E56" s="77">
        <f t="shared" ref="E56:F56" si="12">SUM(E32:E55)</f>
        <v>19789</v>
      </c>
      <c r="F56" s="151">
        <f t="shared" si="12"/>
        <v>20371</v>
      </c>
      <c r="G56" s="77">
        <f t="shared" si="11"/>
        <v>20837</v>
      </c>
      <c r="H56" s="27">
        <f t="shared" si="1"/>
        <v>4.1142736886410347</v>
      </c>
      <c r="I56" s="15">
        <f t="shared" si="2"/>
        <v>2.9410278437515842</v>
      </c>
      <c r="J56" s="158">
        <f t="shared" ref="J56" si="13">SUM(J32:J55)</f>
        <v>20428</v>
      </c>
      <c r="K56" s="77">
        <f t="shared" ref="K56:M56" si="14">SUM(K32:K55)</f>
        <v>20497</v>
      </c>
      <c r="L56" s="77">
        <f t="shared" si="14"/>
        <v>20672</v>
      </c>
      <c r="M56" s="77">
        <f t="shared" si="14"/>
        <v>20837</v>
      </c>
      <c r="N56" s="15">
        <f t="shared" si="3"/>
        <v>0.27980953315989154</v>
      </c>
      <c r="O56" s="15">
        <f t="shared" si="4"/>
        <v>0.61852633645868593</v>
      </c>
      <c r="P56" s="15">
        <f t="shared" si="5"/>
        <v>1.4775906926513187</v>
      </c>
      <c r="Q56" s="15">
        <f t="shared" si="6"/>
        <v>2.2875656570615206</v>
      </c>
      <c r="R56" s="78"/>
      <c r="S56" s="78"/>
    </row>
    <row r="57" spans="1:19" ht="30.75" customHeight="1" x14ac:dyDescent="0.25">
      <c r="A57" s="79" t="s">
        <v>46</v>
      </c>
      <c r="B57" s="171" t="s">
        <v>36</v>
      </c>
      <c r="C57" s="172"/>
      <c r="D57" s="80"/>
      <c r="E57" s="81"/>
      <c r="F57" s="82"/>
      <c r="G57" s="217">
        <f t="shared" si="11"/>
        <v>0</v>
      </c>
      <c r="H57" s="27"/>
      <c r="I57" s="15"/>
      <c r="J57" s="218"/>
      <c r="K57" s="80"/>
      <c r="L57" s="80"/>
      <c r="M57" s="80"/>
      <c r="N57" s="15"/>
      <c r="O57" s="15"/>
      <c r="P57" s="15"/>
      <c r="Q57" s="15"/>
    </row>
    <row r="58" spans="1:19" x14ac:dyDescent="0.2">
      <c r="A58" s="3"/>
      <c r="B58" s="2" t="s">
        <v>49</v>
      </c>
      <c r="C58" s="84" t="s">
        <v>125</v>
      </c>
      <c r="D58" s="163">
        <v>2033</v>
      </c>
      <c r="E58" s="22">
        <v>2569</v>
      </c>
      <c r="F58" s="22">
        <f>E58+582</f>
        <v>3151</v>
      </c>
      <c r="G58" s="70">
        <f t="shared" si="11"/>
        <v>3884</v>
      </c>
      <c r="H58" s="27">
        <f t="shared" si="1"/>
        <v>26.364977865223807</v>
      </c>
      <c r="I58" s="15">
        <f t="shared" si="2"/>
        <v>22.654729466718564</v>
      </c>
      <c r="J58" s="159">
        <f>F58+267</f>
        <v>3418</v>
      </c>
      <c r="K58" s="22">
        <f>J58+22+11+24</f>
        <v>3475</v>
      </c>
      <c r="L58" s="70">
        <f>K58+190+53</f>
        <v>3718</v>
      </c>
      <c r="M58" s="70">
        <f>L58+61+62+43</f>
        <v>3884</v>
      </c>
      <c r="N58" s="15">
        <f t="shared" si="3"/>
        <v>8.473500476039348</v>
      </c>
      <c r="O58" s="15">
        <f t="shared" si="4"/>
        <v>10.28245001586798</v>
      </c>
      <c r="P58" s="15">
        <f t="shared" si="5"/>
        <v>17.994287527768975</v>
      </c>
      <c r="Q58" s="15">
        <f t="shared" si="6"/>
        <v>23.262456363059343</v>
      </c>
    </row>
    <row r="59" spans="1:19" x14ac:dyDescent="0.2">
      <c r="A59" s="17"/>
      <c r="B59" s="18" t="s">
        <v>38</v>
      </c>
      <c r="C59" s="19" t="s">
        <v>126</v>
      </c>
      <c r="D59" s="164">
        <v>1400</v>
      </c>
      <c r="E59" s="20">
        <v>1465</v>
      </c>
      <c r="F59" s="162">
        <f>E59+316</f>
        <v>1781</v>
      </c>
      <c r="G59" s="73">
        <f t="shared" si="11"/>
        <v>2278</v>
      </c>
      <c r="H59" s="27">
        <f t="shared" si="1"/>
        <v>4.642857142857153</v>
      </c>
      <c r="I59" s="15">
        <f t="shared" si="2"/>
        <v>21.569965870307172</v>
      </c>
      <c r="J59" s="160">
        <v>1781</v>
      </c>
      <c r="K59" s="20">
        <f>J59+250-31</f>
        <v>2000</v>
      </c>
      <c r="L59" s="73">
        <f>K59+31+28+53</f>
        <v>2112</v>
      </c>
      <c r="M59" s="73">
        <f>L59+61+62+43</f>
        <v>2278</v>
      </c>
      <c r="N59" s="15">
        <f t="shared" si="3"/>
        <v>0</v>
      </c>
      <c r="O59" s="15">
        <f t="shared" si="4"/>
        <v>12.296462661426162</v>
      </c>
      <c r="P59" s="15">
        <f t="shared" si="5"/>
        <v>18.585064570466031</v>
      </c>
      <c r="Q59" s="15">
        <f t="shared" si="6"/>
        <v>27.905670971364401</v>
      </c>
    </row>
    <row r="60" spans="1:19" ht="25.5" customHeight="1" x14ac:dyDescent="0.25">
      <c r="A60" s="79" t="s">
        <v>47</v>
      </c>
      <c r="B60" s="171" t="s">
        <v>48</v>
      </c>
      <c r="C60" s="172"/>
      <c r="D60" s="80"/>
      <c r="E60" s="85"/>
      <c r="F60" s="85"/>
      <c r="G60" s="85">
        <f t="shared" si="11"/>
        <v>0</v>
      </c>
      <c r="H60" s="27"/>
      <c r="I60" s="15"/>
      <c r="J60" s="161"/>
      <c r="K60" s="85"/>
      <c r="L60" s="219"/>
      <c r="M60" s="85"/>
      <c r="N60" s="15"/>
      <c r="O60" s="15"/>
      <c r="P60" s="15"/>
      <c r="Q60" s="15"/>
    </row>
    <row r="61" spans="1:19" x14ac:dyDescent="0.2">
      <c r="A61" s="64"/>
      <c r="B61" s="86" t="s">
        <v>49</v>
      </c>
      <c r="C61" s="87" t="s">
        <v>127</v>
      </c>
      <c r="D61" s="70">
        <v>1254</v>
      </c>
      <c r="E61" s="21">
        <v>1370</v>
      </c>
      <c r="F61" s="220">
        <f>E61+316</f>
        <v>1686</v>
      </c>
      <c r="G61" s="8">
        <f t="shared" si="11"/>
        <v>2237</v>
      </c>
      <c r="H61" s="27">
        <f t="shared" si="1"/>
        <v>9.2503987240829275</v>
      </c>
      <c r="I61" s="15">
        <f t="shared" si="2"/>
        <v>23.065693430656935</v>
      </c>
      <c r="J61" s="221">
        <f>F61+73</f>
        <v>1759</v>
      </c>
      <c r="K61" s="21">
        <f>J61+69</f>
        <v>1828</v>
      </c>
      <c r="L61" s="8">
        <f>K61+190+53</f>
        <v>2071</v>
      </c>
      <c r="M61" s="8">
        <f>L61+61+62+43</f>
        <v>2237</v>
      </c>
      <c r="N61" s="15">
        <f t="shared" si="3"/>
        <v>4.3297746144721287</v>
      </c>
      <c r="O61" s="15">
        <f t="shared" si="4"/>
        <v>8.4223013048635949</v>
      </c>
      <c r="P61" s="15">
        <f t="shared" si="5"/>
        <v>22.835112692763943</v>
      </c>
      <c r="Q61" s="15">
        <f t="shared" si="6"/>
        <v>32.680901542111485</v>
      </c>
    </row>
    <row r="62" spans="1:19" x14ac:dyDescent="0.2">
      <c r="A62" s="64"/>
      <c r="B62" s="86" t="s">
        <v>38</v>
      </c>
      <c r="C62" s="89" t="s">
        <v>128</v>
      </c>
      <c r="D62" s="148">
        <v>16800</v>
      </c>
      <c r="E62" s="149">
        <f>16800+2133</f>
        <v>18933</v>
      </c>
      <c r="F62" s="220">
        <f>19200+92</f>
        <v>19292</v>
      </c>
      <c r="G62" s="8">
        <f t="shared" si="11"/>
        <v>19869</v>
      </c>
      <c r="H62" s="27">
        <f t="shared" si="1"/>
        <v>12.696428571428569</v>
      </c>
      <c r="I62" s="15">
        <f t="shared" si="2"/>
        <v>1.8961601436644884</v>
      </c>
      <c r="J62" s="221">
        <f>F62+99</f>
        <v>19391</v>
      </c>
      <c r="K62" s="21">
        <f>J62+69</f>
        <v>19460</v>
      </c>
      <c r="L62" s="8">
        <f>K62+190+53</f>
        <v>19703</v>
      </c>
      <c r="M62" s="8">
        <f>L62+61+62+43</f>
        <v>19869</v>
      </c>
      <c r="N62" s="15">
        <f t="shared" si="3"/>
        <v>0.5131660792038133</v>
      </c>
      <c r="O62" s="15">
        <f t="shared" si="4"/>
        <v>0.87082728592162084</v>
      </c>
      <c r="P62" s="15">
        <f t="shared" si="5"/>
        <v>2.1304167530582703</v>
      </c>
      <c r="Q62" s="15">
        <f t="shared" si="6"/>
        <v>2.9908770474808222</v>
      </c>
    </row>
    <row r="63" spans="1:19" x14ac:dyDescent="0.2">
      <c r="A63" s="64"/>
      <c r="B63" s="86" t="s">
        <v>42</v>
      </c>
      <c r="C63" s="89" t="s">
        <v>129</v>
      </c>
      <c r="D63" s="70" t="s">
        <v>119</v>
      </c>
      <c r="E63" s="21" t="s">
        <v>119</v>
      </c>
      <c r="F63" s="220" t="s">
        <v>119</v>
      </c>
      <c r="G63" s="8" t="str">
        <f t="shared" si="11"/>
        <v>-</v>
      </c>
      <c r="H63" s="27"/>
      <c r="I63" s="15"/>
      <c r="J63" s="221">
        <v>0</v>
      </c>
      <c r="K63" s="21">
        <v>0</v>
      </c>
      <c r="L63" s="8" t="s">
        <v>119</v>
      </c>
      <c r="M63" s="8" t="s">
        <v>119</v>
      </c>
      <c r="N63" s="15"/>
      <c r="O63" s="15"/>
      <c r="P63" s="15"/>
      <c r="Q63" s="15"/>
    </row>
    <row r="64" spans="1:19" x14ac:dyDescent="0.2">
      <c r="A64" s="64"/>
      <c r="B64" s="86" t="s">
        <v>43</v>
      </c>
      <c r="C64" s="89" t="s">
        <v>123</v>
      </c>
      <c r="D64" s="70">
        <v>2262</v>
      </c>
      <c r="E64" s="21">
        <v>103</v>
      </c>
      <c r="F64" s="220">
        <v>592</v>
      </c>
      <c r="G64" s="8">
        <f t="shared" si="11"/>
        <v>355</v>
      </c>
      <c r="H64" s="27">
        <f t="shared" si="1"/>
        <v>-95.44650751547303</v>
      </c>
      <c r="I64" s="15">
        <f t="shared" si="2"/>
        <v>474.75728155339812</v>
      </c>
      <c r="J64" s="221">
        <v>118</v>
      </c>
      <c r="K64" s="21">
        <v>103</v>
      </c>
      <c r="L64" s="8">
        <f>103+6</f>
        <v>109</v>
      </c>
      <c r="M64" s="8">
        <f>L64+33+1+212</f>
        <v>355</v>
      </c>
      <c r="N64" s="15">
        <f t="shared" si="3"/>
        <v>-80.067567567567565</v>
      </c>
      <c r="O64" s="15">
        <f t="shared" si="4"/>
        <v>-82.601351351351354</v>
      </c>
      <c r="P64" s="15">
        <f t="shared" si="5"/>
        <v>-81.587837837837839</v>
      </c>
      <c r="Q64" s="15">
        <f t="shared" si="6"/>
        <v>-40.033783783783782</v>
      </c>
    </row>
    <row r="65" spans="1:17" ht="16.5" customHeight="1" x14ac:dyDescent="0.2">
      <c r="A65" s="64"/>
      <c r="B65" s="86" t="s">
        <v>44</v>
      </c>
      <c r="C65" s="89" t="s">
        <v>120</v>
      </c>
      <c r="D65" s="70">
        <v>35</v>
      </c>
      <c r="E65" s="21">
        <v>74</v>
      </c>
      <c r="F65" s="220">
        <f>E65+80</f>
        <v>154</v>
      </c>
      <c r="G65" s="8">
        <f t="shared" si="11"/>
        <v>340</v>
      </c>
      <c r="H65" s="27">
        <f t="shared" si="1"/>
        <v>111.42857142857144</v>
      </c>
      <c r="I65" s="15">
        <f t="shared" si="2"/>
        <v>108.10810810810813</v>
      </c>
      <c r="J65" s="221">
        <f>F65+23</f>
        <v>177</v>
      </c>
      <c r="K65" s="21">
        <f>J65+12+20+30</f>
        <v>239</v>
      </c>
      <c r="L65" s="21">
        <f>K65+12+20+30</f>
        <v>301</v>
      </c>
      <c r="M65" s="8">
        <f>L65+18+5+16</f>
        <v>340</v>
      </c>
      <c r="N65" s="15">
        <f t="shared" si="3"/>
        <v>14.935064935064929</v>
      </c>
      <c r="O65" s="15">
        <f t="shared" si="4"/>
        <v>55.194805194805184</v>
      </c>
      <c r="P65" s="15">
        <f t="shared" si="5"/>
        <v>95.454545454545467</v>
      </c>
      <c r="Q65" s="15">
        <f t="shared" si="6"/>
        <v>120.77922077922079</v>
      </c>
    </row>
    <row r="66" spans="1:17" x14ac:dyDescent="0.2">
      <c r="A66" s="64"/>
      <c r="B66" s="86" t="s">
        <v>46</v>
      </c>
      <c r="C66" s="63" t="s">
        <v>121</v>
      </c>
      <c r="D66" s="70">
        <v>208</v>
      </c>
      <c r="E66" s="21">
        <v>270</v>
      </c>
      <c r="F66" s="220">
        <f>270+33+100</f>
        <v>403</v>
      </c>
      <c r="G66" s="8">
        <f t="shared" si="11"/>
        <v>1706</v>
      </c>
      <c r="H66" s="27">
        <f t="shared" si="1"/>
        <v>29.807692307692321</v>
      </c>
      <c r="I66" s="15">
        <f t="shared" si="2"/>
        <v>49.259259259259267</v>
      </c>
      <c r="J66" s="221">
        <v>270</v>
      </c>
      <c r="K66" s="21">
        <v>270</v>
      </c>
      <c r="L66" s="8">
        <f>270+14</f>
        <v>284</v>
      </c>
      <c r="M66" s="8">
        <f>L66+22+1320+80</f>
        <v>1706</v>
      </c>
      <c r="N66" s="15">
        <f t="shared" si="3"/>
        <v>-33.002481389578165</v>
      </c>
      <c r="O66" s="15">
        <f t="shared" si="4"/>
        <v>-33.002481389578165</v>
      </c>
      <c r="P66" s="15">
        <f t="shared" si="5"/>
        <v>-29.528535980148888</v>
      </c>
      <c r="Q66" s="15">
        <f t="shared" si="6"/>
        <v>323.32506203473946</v>
      </c>
    </row>
    <row r="67" spans="1:17" x14ac:dyDescent="0.2">
      <c r="A67" s="64"/>
      <c r="B67" s="86" t="s">
        <v>47</v>
      </c>
      <c r="C67" s="63" t="s">
        <v>122</v>
      </c>
      <c r="D67" s="70">
        <v>3113</v>
      </c>
      <c r="E67" s="21">
        <v>3233</v>
      </c>
      <c r="F67" s="220">
        <f>3313+40</f>
        <v>3353</v>
      </c>
      <c r="G67" s="8">
        <f t="shared" si="11"/>
        <v>3874</v>
      </c>
      <c r="H67" s="27">
        <f t="shared" si="1"/>
        <v>3.8548024413748863</v>
      </c>
      <c r="I67" s="15">
        <f t="shared" si="2"/>
        <v>3.7117228580266044</v>
      </c>
      <c r="J67" s="221">
        <f>F67+50</f>
        <v>3403</v>
      </c>
      <c r="K67" s="21">
        <f>J67</f>
        <v>3403</v>
      </c>
      <c r="L67" s="8">
        <f>K67+258</f>
        <v>3661</v>
      </c>
      <c r="M67" s="8">
        <f>L67+73+140</f>
        <v>3874</v>
      </c>
      <c r="N67" s="15">
        <f t="shared" si="3"/>
        <v>1.4912019087384323</v>
      </c>
      <c r="O67" s="15">
        <f t="shared" si="4"/>
        <v>1.4912019087384323</v>
      </c>
      <c r="P67" s="15">
        <f t="shared" si="5"/>
        <v>9.1858037578288076</v>
      </c>
      <c r="Q67" s="15">
        <f t="shared" si="6"/>
        <v>15.538323889054581</v>
      </c>
    </row>
    <row r="68" spans="1:17" ht="15.75" thickBot="1" x14ac:dyDescent="0.25">
      <c r="A68" s="64"/>
      <c r="B68" s="86" t="s">
        <v>50</v>
      </c>
      <c r="C68" s="63" t="s">
        <v>130</v>
      </c>
      <c r="D68" s="92">
        <v>57</v>
      </c>
      <c r="E68" s="92">
        <f>D68+15</f>
        <v>72</v>
      </c>
      <c r="F68" s="222">
        <f>E68+333</f>
        <v>405</v>
      </c>
      <c r="G68" s="223">
        <f t="shared" si="11"/>
        <v>470</v>
      </c>
      <c r="H68" s="27">
        <f t="shared" si="1"/>
        <v>26.315789473684205</v>
      </c>
      <c r="I68" s="15">
        <f t="shared" si="2"/>
        <v>462.5</v>
      </c>
      <c r="J68" s="224">
        <f>F68+13</f>
        <v>418</v>
      </c>
      <c r="K68" s="223">
        <f>J68+13</f>
        <v>431</v>
      </c>
      <c r="L68" s="223">
        <f>K68+15</f>
        <v>446</v>
      </c>
      <c r="M68" s="223">
        <f>L68+8+5+11</f>
        <v>470</v>
      </c>
      <c r="N68" s="15">
        <f t="shared" si="3"/>
        <v>3.209876543209873</v>
      </c>
      <c r="O68" s="15">
        <f t="shared" si="4"/>
        <v>6.4197530864197603</v>
      </c>
      <c r="P68" s="15">
        <f t="shared" si="5"/>
        <v>10.123456790123456</v>
      </c>
      <c r="Q68" s="15">
        <f t="shared" si="6"/>
        <v>16.049382716049394</v>
      </c>
    </row>
    <row r="69" spans="1:17" x14ac:dyDescent="0.2">
      <c r="A69" s="3"/>
      <c r="B69" s="98"/>
      <c r="C69" s="4"/>
      <c r="D69" s="3"/>
      <c r="E69" s="3"/>
      <c r="F69" s="3"/>
      <c r="G69" s="3"/>
      <c r="H69" s="3"/>
      <c r="I69" s="82"/>
      <c r="J69" s="82"/>
      <c r="K69" s="82"/>
      <c r="L69" s="82"/>
      <c r="M69" s="3"/>
      <c r="N69" s="82"/>
      <c r="O69" s="82"/>
      <c r="P69" s="82"/>
      <c r="Q69" s="82"/>
    </row>
    <row r="70" spans="1:17" x14ac:dyDescent="0.2">
      <c r="A70" s="3"/>
      <c r="B70" s="98"/>
      <c r="C70" s="4"/>
      <c r="D70" s="3"/>
      <c r="E70" s="3"/>
      <c r="F70" s="3"/>
      <c r="G70" s="3"/>
      <c r="H70" s="3"/>
      <c r="I70" s="82"/>
      <c r="J70" s="82"/>
      <c r="K70" s="82"/>
      <c r="L70" s="82"/>
      <c r="M70" s="3"/>
      <c r="N70" s="82"/>
      <c r="O70" s="82"/>
      <c r="P70" s="82"/>
      <c r="Q70" s="82"/>
    </row>
    <row r="71" spans="1:17" x14ac:dyDescent="0.2">
      <c r="A71" s="3"/>
      <c r="B71" s="98"/>
      <c r="C71" s="4"/>
      <c r="D71" s="3"/>
      <c r="E71" s="3"/>
      <c r="F71" s="3"/>
      <c r="G71" s="3"/>
      <c r="H71" s="3"/>
      <c r="I71" s="82"/>
      <c r="J71" s="82"/>
      <c r="K71" s="82"/>
      <c r="L71" s="82"/>
      <c r="M71" s="3"/>
      <c r="N71" s="82"/>
      <c r="O71" s="82"/>
      <c r="P71" s="82"/>
      <c r="Q71" s="82"/>
    </row>
    <row r="72" spans="1:17" x14ac:dyDescent="0.2">
      <c r="A72" s="3"/>
      <c r="B72" s="98"/>
      <c r="C72" s="4"/>
      <c r="D72" s="3"/>
      <c r="E72" s="3"/>
      <c r="F72" s="3"/>
      <c r="G72" s="3"/>
      <c r="H72" s="3"/>
      <c r="I72" s="82"/>
      <c r="J72" s="82"/>
      <c r="K72" s="82"/>
      <c r="L72" s="82"/>
      <c r="M72" s="3"/>
      <c r="N72" s="82"/>
      <c r="O72" s="82"/>
      <c r="P72" s="82"/>
      <c r="Q72" s="82"/>
    </row>
    <row r="73" spans="1:17" x14ac:dyDescent="0.2">
      <c r="A73" s="3"/>
      <c r="B73" s="98"/>
      <c r="C73" s="4"/>
      <c r="D73" s="3"/>
      <c r="E73" s="3"/>
      <c r="F73" s="3"/>
      <c r="G73" s="3"/>
      <c r="H73" s="3"/>
      <c r="I73" s="82"/>
      <c r="J73" s="82"/>
      <c r="K73" s="82"/>
      <c r="L73" s="82"/>
      <c r="M73" s="3"/>
      <c r="N73" s="82"/>
      <c r="O73" s="82"/>
      <c r="P73" s="82"/>
      <c r="Q73" s="82"/>
    </row>
    <row r="74" spans="1:17" x14ac:dyDescent="0.2">
      <c r="A74" s="3"/>
      <c r="B74" s="98"/>
      <c r="C74" s="4"/>
      <c r="D74" s="3"/>
      <c r="E74" s="3"/>
      <c r="F74" s="3"/>
      <c r="G74" s="3"/>
      <c r="H74" s="3"/>
      <c r="I74" s="82"/>
      <c r="J74" s="82"/>
      <c r="K74" s="82"/>
      <c r="L74" s="82"/>
      <c r="M74" s="3"/>
      <c r="N74" s="82"/>
      <c r="O74" s="82"/>
      <c r="P74" s="82"/>
      <c r="Q74" s="82"/>
    </row>
    <row r="75" spans="1:17" x14ac:dyDescent="0.2">
      <c r="A75" s="3"/>
      <c r="B75" s="98"/>
      <c r="C75" s="4"/>
      <c r="D75" s="3"/>
      <c r="E75" s="3"/>
      <c r="F75" s="3"/>
      <c r="G75" s="3"/>
      <c r="H75" s="3"/>
      <c r="I75" s="82"/>
      <c r="J75" s="82"/>
      <c r="K75" s="82"/>
      <c r="L75" s="82"/>
      <c r="M75" s="3"/>
      <c r="N75" s="82"/>
      <c r="O75" s="82"/>
      <c r="P75" s="82"/>
      <c r="Q75" s="82"/>
    </row>
    <row r="76" spans="1:17" x14ac:dyDescent="0.2">
      <c r="A76" s="3"/>
      <c r="B76" s="98"/>
      <c r="C76" s="4"/>
      <c r="D76" s="3"/>
      <c r="E76" s="3"/>
      <c r="F76" s="3"/>
      <c r="G76" s="3"/>
      <c r="H76" s="3"/>
      <c r="I76" s="82"/>
      <c r="J76" s="82"/>
      <c r="K76" s="82"/>
      <c r="L76" s="82"/>
      <c r="M76" s="3"/>
      <c r="N76" s="82"/>
      <c r="O76" s="82"/>
      <c r="P76" s="82"/>
      <c r="Q76" s="82"/>
    </row>
    <row r="77" spans="1:17" ht="15.75" thickBot="1" x14ac:dyDescent="0.25">
      <c r="A77" s="90"/>
      <c r="B77" s="99"/>
      <c r="C77" s="97"/>
      <c r="D77" s="90"/>
      <c r="E77" s="90"/>
      <c r="F77" s="90"/>
      <c r="G77" s="90"/>
      <c r="H77" s="90"/>
      <c r="I77" s="95"/>
      <c r="J77" s="95"/>
      <c r="K77" s="95"/>
      <c r="L77" s="95"/>
      <c r="M77" s="90"/>
      <c r="N77" s="95"/>
      <c r="O77" s="95"/>
      <c r="P77" s="95"/>
      <c r="Q77" s="95"/>
    </row>
  </sheetData>
  <mergeCells count="25">
    <mergeCell ref="J2:M2"/>
    <mergeCell ref="A4:A6"/>
    <mergeCell ref="B4:C6"/>
    <mergeCell ref="H4:I4"/>
    <mergeCell ref="J4:M4"/>
    <mergeCell ref="D4:F4"/>
    <mergeCell ref="F5:F6"/>
    <mergeCell ref="B7:C7"/>
    <mergeCell ref="B9:C9"/>
    <mergeCell ref="B10:C10"/>
    <mergeCell ref="N4:Q4"/>
    <mergeCell ref="D5:D6"/>
    <mergeCell ref="E5:E6"/>
    <mergeCell ref="H5:H6"/>
    <mergeCell ref="I5:I6"/>
    <mergeCell ref="J5:J6"/>
    <mergeCell ref="K5:K6"/>
    <mergeCell ref="L5:L6"/>
    <mergeCell ref="M5:M6"/>
    <mergeCell ref="G5:G6"/>
    <mergeCell ref="B15:C15"/>
    <mergeCell ref="B21:C21"/>
    <mergeCell ref="B31:C31"/>
    <mergeCell ref="B57:C57"/>
    <mergeCell ref="B60:C60"/>
  </mergeCell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12"/>
  <sheetViews>
    <sheetView topLeftCell="A10" workbookViewId="0">
      <selection activeCell="D16" sqref="D16"/>
    </sheetView>
  </sheetViews>
  <sheetFormatPr defaultRowHeight="15" x14ac:dyDescent="0.25"/>
  <cols>
    <col min="1" max="1" width="9.140625" style="138"/>
    <col min="2" max="2" width="14.140625" style="138" bestFit="1" customWidth="1"/>
    <col min="3" max="3" width="16" style="138" bestFit="1" customWidth="1"/>
    <col min="4" max="4" width="33.7109375" style="138" customWidth="1"/>
    <col min="5" max="5" width="22.7109375" style="138" customWidth="1"/>
    <col min="6" max="16384" width="9.140625" style="138"/>
  </cols>
  <sheetData>
    <row r="4" spans="1:7" ht="28.5" x14ac:dyDescent="0.45">
      <c r="A4" s="137" t="s">
        <v>1</v>
      </c>
      <c r="B4" s="137" t="s">
        <v>14</v>
      </c>
      <c r="C4" s="137" t="s">
        <v>112</v>
      </c>
      <c r="D4" s="137" t="s">
        <v>113</v>
      </c>
      <c r="E4" s="137" t="s">
        <v>114</v>
      </c>
    </row>
    <row r="5" spans="1:7" ht="28.5" x14ac:dyDescent="0.45">
      <c r="A5" s="137">
        <v>1</v>
      </c>
      <c r="B5" s="137">
        <v>2019</v>
      </c>
      <c r="C5" s="139">
        <v>19007</v>
      </c>
      <c r="D5" s="137"/>
      <c r="E5" s="137"/>
    </row>
    <row r="6" spans="1:7" ht="28.5" x14ac:dyDescent="0.45">
      <c r="A6" s="137">
        <v>2</v>
      </c>
      <c r="B6" s="137">
        <v>2020</v>
      </c>
      <c r="C6" s="139">
        <v>19783</v>
      </c>
      <c r="D6" s="140">
        <f>C6/C5*100-100</f>
        <v>4.0827063713368688</v>
      </c>
      <c r="E6" s="141">
        <f t="shared" ref="E6:E12" si="0">C6-C5</f>
        <v>776</v>
      </c>
      <c r="G6" s="138">
        <v>3</v>
      </c>
    </row>
    <row r="7" spans="1:7" ht="28.5" x14ac:dyDescent="0.45">
      <c r="A7" s="137">
        <v>3</v>
      </c>
      <c r="B7" s="137">
        <v>2021</v>
      </c>
      <c r="C7" s="139">
        <v>20358</v>
      </c>
      <c r="D7" s="140">
        <f t="shared" ref="D7:D12" si="1">C7/C6*100-100</f>
        <v>2.9065359146742225</v>
      </c>
      <c r="E7" s="141">
        <f t="shared" si="0"/>
        <v>575</v>
      </c>
    </row>
    <row r="8" spans="1:7" ht="28.5" x14ac:dyDescent="0.45">
      <c r="A8" s="137">
        <v>4</v>
      </c>
      <c r="B8" s="137">
        <v>2022</v>
      </c>
      <c r="C8" s="139">
        <v>20880</v>
      </c>
      <c r="D8" s="140">
        <f t="shared" si="1"/>
        <v>2.564102564102555</v>
      </c>
      <c r="E8" s="141">
        <f t="shared" si="0"/>
        <v>522</v>
      </c>
    </row>
    <row r="9" spans="1:7" ht="28.5" x14ac:dyDescent="0.45">
      <c r="A9" s="142">
        <v>5</v>
      </c>
      <c r="B9" s="142">
        <v>2023</v>
      </c>
      <c r="C9" s="143">
        <v>21425</v>
      </c>
      <c r="D9" s="144">
        <f t="shared" si="1"/>
        <v>2.6101532567049759</v>
      </c>
      <c r="E9" s="145">
        <f t="shared" si="0"/>
        <v>545</v>
      </c>
    </row>
    <row r="10" spans="1:7" ht="28.5" x14ac:dyDescent="0.45">
      <c r="A10" s="142">
        <v>6</v>
      </c>
      <c r="B10" s="142">
        <v>2024</v>
      </c>
      <c r="C10" s="143">
        <v>21992</v>
      </c>
      <c r="D10" s="144">
        <f t="shared" si="1"/>
        <v>2.6464410735122641</v>
      </c>
      <c r="E10" s="145">
        <f t="shared" si="0"/>
        <v>567</v>
      </c>
    </row>
    <row r="11" spans="1:7" ht="28.5" x14ac:dyDescent="0.45">
      <c r="A11" s="142">
        <v>7</v>
      </c>
      <c r="B11" s="142">
        <v>2025</v>
      </c>
      <c r="C11" s="143">
        <v>22585</v>
      </c>
      <c r="D11" s="144">
        <f t="shared" si="1"/>
        <v>2.6964350672972017</v>
      </c>
      <c r="E11" s="145">
        <f t="shared" si="0"/>
        <v>593</v>
      </c>
    </row>
    <row r="12" spans="1:7" ht="28.5" x14ac:dyDescent="0.45">
      <c r="A12" s="142">
        <v>8</v>
      </c>
      <c r="B12" s="142">
        <v>2026</v>
      </c>
      <c r="C12" s="143">
        <v>23207</v>
      </c>
      <c r="D12" s="144">
        <f t="shared" si="1"/>
        <v>2.7540402922293623</v>
      </c>
      <c r="E12" s="145">
        <f t="shared" si="0"/>
        <v>622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topLeftCell="A10" workbookViewId="0">
      <selection activeCell="A26" sqref="A26"/>
    </sheetView>
  </sheetViews>
  <sheetFormatPr defaultRowHeight="15" x14ac:dyDescent="0.2"/>
  <cols>
    <col min="1" max="1" width="5.42578125" style="30" customWidth="1"/>
    <col min="2" max="2" width="4.42578125" style="30" customWidth="1"/>
    <col min="3" max="3" width="86.42578125" style="30" customWidth="1"/>
    <col min="4" max="4" width="10.140625" style="30" customWidth="1"/>
    <col min="5" max="5" width="12.5703125" style="30" customWidth="1"/>
    <col min="6" max="6" width="10.5703125" style="30" customWidth="1"/>
    <col min="7" max="7" width="10" style="31" customWidth="1"/>
    <col min="8" max="8" width="11.42578125" style="31" customWidth="1"/>
    <col min="9" max="9" width="13.140625" style="31" customWidth="1"/>
    <col min="10" max="10" width="11.28515625" style="31" customWidth="1"/>
    <col min="11" max="11" width="12" style="30" customWidth="1"/>
    <col min="12" max="12" width="11" style="30" customWidth="1"/>
    <col min="13" max="13" width="12.7109375" style="31" customWidth="1"/>
    <col min="14" max="14" width="11" style="30" customWidth="1"/>
    <col min="15" max="15" width="12.28515625" style="31" customWidth="1"/>
    <col min="16" max="16" width="11" style="30" customWidth="1"/>
    <col min="17" max="17" width="12.7109375" style="31" customWidth="1"/>
    <col min="18" max="18" width="11" style="30" customWidth="1"/>
    <col min="19" max="19" width="12.7109375" style="31" customWidth="1"/>
    <col min="20" max="16384" width="9.140625" style="30"/>
  </cols>
  <sheetData>
    <row r="1" spans="1:19" ht="27.75" x14ac:dyDescent="0.4">
      <c r="A1" s="100" t="s">
        <v>0</v>
      </c>
      <c r="B1" s="100"/>
      <c r="C1" s="100"/>
      <c r="D1" s="100"/>
      <c r="E1" s="100"/>
      <c r="F1" s="29"/>
      <c r="G1" s="29"/>
      <c r="H1" s="29"/>
      <c r="I1" s="29"/>
      <c r="J1" s="101"/>
      <c r="K1" s="101"/>
      <c r="L1" s="29"/>
      <c r="M1" s="101"/>
      <c r="N1" s="29"/>
      <c r="O1" s="101"/>
      <c r="P1" s="29"/>
      <c r="Q1" s="101"/>
      <c r="R1" s="29"/>
      <c r="S1" s="30"/>
    </row>
    <row r="2" spans="1:19" ht="24" customHeight="1" x14ac:dyDescent="0.4">
      <c r="A2" s="102"/>
      <c r="B2" s="100"/>
      <c r="C2" s="100"/>
      <c r="D2" s="100"/>
      <c r="E2" s="100"/>
      <c r="F2" s="100"/>
      <c r="G2" s="29"/>
      <c r="H2" s="29"/>
      <c r="I2" s="29"/>
      <c r="J2" s="29"/>
      <c r="K2" s="101"/>
      <c r="L2" s="101"/>
      <c r="M2" s="29"/>
      <c r="N2" s="101"/>
      <c r="O2" s="29"/>
      <c r="P2" s="101"/>
      <c r="Q2" s="29"/>
      <c r="R2" s="101"/>
      <c r="S2" s="29"/>
    </row>
    <row r="3" spans="1:19" ht="25.5" customHeight="1" thickBot="1" x14ac:dyDescent="0.25"/>
    <row r="4" spans="1:19" ht="15" customHeight="1" x14ac:dyDescent="0.25">
      <c r="A4" s="201" t="s">
        <v>1</v>
      </c>
      <c r="B4" s="204" t="s">
        <v>2</v>
      </c>
      <c r="C4" s="205"/>
      <c r="D4" s="175" t="s">
        <v>14</v>
      </c>
      <c r="E4" s="175"/>
      <c r="F4" s="175" t="s">
        <v>15</v>
      </c>
      <c r="G4" s="175"/>
      <c r="H4" s="210" t="s">
        <v>20</v>
      </c>
      <c r="I4" s="210"/>
      <c r="J4" s="210"/>
      <c r="K4" s="210"/>
      <c r="L4" s="175" t="s">
        <v>15</v>
      </c>
      <c r="M4" s="175"/>
      <c r="N4" s="175"/>
      <c r="O4" s="175"/>
      <c r="P4" s="175"/>
      <c r="Q4" s="175"/>
      <c r="R4" s="175"/>
      <c r="S4" s="175"/>
    </row>
    <row r="5" spans="1:19" ht="38.25" customHeight="1" x14ac:dyDescent="0.2">
      <c r="A5" s="202"/>
      <c r="B5" s="206"/>
      <c r="C5" s="207"/>
      <c r="D5" s="211">
        <v>2019</v>
      </c>
      <c r="E5" s="211">
        <v>2020</v>
      </c>
      <c r="F5" s="178" t="s">
        <v>16</v>
      </c>
      <c r="G5" s="178" t="s">
        <v>17</v>
      </c>
      <c r="H5" s="178" t="s">
        <v>24</v>
      </c>
      <c r="I5" s="178" t="s">
        <v>107</v>
      </c>
      <c r="J5" s="178" t="s">
        <v>108</v>
      </c>
      <c r="K5" s="178" t="s">
        <v>109</v>
      </c>
      <c r="L5" s="196" t="s">
        <v>23</v>
      </c>
      <c r="M5" s="196"/>
      <c r="N5" s="196" t="s">
        <v>31</v>
      </c>
      <c r="O5" s="196"/>
      <c r="P5" s="196" t="s">
        <v>32</v>
      </c>
      <c r="Q5" s="196"/>
      <c r="R5" s="196" t="s">
        <v>33</v>
      </c>
      <c r="S5" s="196"/>
    </row>
    <row r="6" spans="1:19" ht="19.5" customHeight="1" x14ac:dyDescent="0.2">
      <c r="A6" s="203"/>
      <c r="B6" s="208"/>
      <c r="C6" s="209"/>
      <c r="D6" s="212"/>
      <c r="E6" s="212"/>
      <c r="F6" s="179"/>
      <c r="G6" s="179"/>
      <c r="H6" s="179"/>
      <c r="I6" s="179"/>
      <c r="J6" s="179"/>
      <c r="K6" s="179"/>
      <c r="L6" s="32" t="s">
        <v>16</v>
      </c>
      <c r="M6" s="32" t="s">
        <v>17</v>
      </c>
      <c r="N6" s="32" t="s">
        <v>16</v>
      </c>
      <c r="O6" s="32" t="s">
        <v>17</v>
      </c>
      <c r="P6" s="32" t="s">
        <v>16</v>
      </c>
      <c r="Q6" s="32" t="s">
        <v>17</v>
      </c>
      <c r="R6" s="32" t="s">
        <v>16</v>
      </c>
      <c r="S6" s="32" t="s">
        <v>17</v>
      </c>
    </row>
    <row r="7" spans="1:19" s="34" customFormat="1" ht="16.5" customHeight="1" x14ac:dyDescent="0.2">
      <c r="A7" s="104" t="s">
        <v>10</v>
      </c>
      <c r="B7" s="197" t="s">
        <v>11</v>
      </c>
      <c r="C7" s="198"/>
      <c r="D7" s="47" t="s">
        <v>12</v>
      </c>
      <c r="E7" s="47" t="s">
        <v>13</v>
      </c>
      <c r="F7" s="47" t="s">
        <v>18</v>
      </c>
      <c r="G7" s="47" t="s">
        <v>19</v>
      </c>
      <c r="H7" s="47" t="s">
        <v>21</v>
      </c>
      <c r="I7" s="47" t="s">
        <v>22</v>
      </c>
      <c r="J7" s="47">
        <v>9</v>
      </c>
      <c r="K7" s="47">
        <v>10</v>
      </c>
      <c r="L7" s="47" t="s">
        <v>25</v>
      </c>
      <c r="M7" s="33" t="s">
        <v>26</v>
      </c>
      <c r="N7" s="47" t="s">
        <v>27</v>
      </c>
      <c r="O7" s="33" t="s">
        <v>28</v>
      </c>
      <c r="P7" s="47" t="s">
        <v>29</v>
      </c>
      <c r="Q7" s="33" t="s">
        <v>30</v>
      </c>
      <c r="R7" s="47" t="s">
        <v>34</v>
      </c>
      <c r="S7" s="33" t="s">
        <v>35</v>
      </c>
    </row>
    <row r="8" spans="1:19" s="34" customFormat="1" ht="9" customHeight="1" x14ac:dyDescent="0.2">
      <c r="A8" s="105"/>
      <c r="B8" s="106"/>
      <c r="C8" s="107"/>
      <c r="D8" s="54"/>
      <c r="E8" s="54"/>
      <c r="F8" s="54"/>
      <c r="G8" s="35"/>
      <c r="H8" s="54"/>
      <c r="I8" s="54"/>
      <c r="J8" s="54"/>
      <c r="K8" s="54"/>
      <c r="L8" s="54"/>
      <c r="M8" s="35"/>
      <c r="N8" s="54"/>
      <c r="O8" s="35"/>
      <c r="P8" s="54"/>
      <c r="Q8" s="35"/>
      <c r="R8" s="54"/>
      <c r="S8" s="35"/>
    </row>
    <row r="9" spans="1:19" s="34" customFormat="1" ht="29.25" customHeight="1" x14ac:dyDescent="0.2">
      <c r="A9" s="108"/>
      <c r="B9" s="109" t="s">
        <v>110</v>
      </c>
      <c r="C9" s="109"/>
      <c r="D9" s="110"/>
      <c r="E9" s="110"/>
      <c r="F9" s="110"/>
      <c r="G9" s="111"/>
      <c r="H9" s="110"/>
      <c r="I9" s="110"/>
      <c r="J9" s="110"/>
      <c r="K9" s="110"/>
      <c r="L9" s="110"/>
      <c r="M9" s="111"/>
      <c r="N9" s="110"/>
      <c r="O9" s="111"/>
      <c r="P9" s="110"/>
      <c r="Q9" s="111"/>
      <c r="R9" s="110"/>
      <c r="S9" s="111"/>
    </row>
    <row r="10" spans="1:19" s="36" customFormat="1" ht="26.25" customHeight="1" x14ac:dyDescent="0.25">
      <c r="A10" s="103">
        <v>1</v>
      </c>
      <c r="B10" s="199" t="s">
        <v>37</v>
      </c>
      <c r="C10" s="200"/>
      <c r="D10" s="5">
        <v>19007</v>
      </c>
      <c r="E10" s="5">
        <v>19789</v>
      </c>
      <c r="F10" s="5">
        <f>SUM(F12:F14)</f>
        <v>782</v>
      </c>
      <c r="G10" s="112">
        <f>F10/D10*100</f>
        <v>4.1142736886410267</v>
      </c>
      <c r="H10" s="56">
        <v>19888</v>
      </c>
      <c r="I10" s="56">
        <f>SUM(I12:I14)</f>
        <v>20043</v>
      </c>
      <c r="J10" s="5">
        <f>SUM(J12:J14)</f>
        <v>0</v>
      </c>
      <c r="K10" s="5">
        <f>SUM(K12:K14)</f>
        <v>0</v>
      </c>
      <c r="L10" s="11">
        <f>H10-E10</f>
        <v>99</v>
      </c>
      <c r="M10" s="12">
        <f>L10/E10*100</f>
        <v>0.50027793218454697</v>
      </c>
      <c r="N10" s="11">
        <f>I10-E10</f>
        <v>254</v>
      </c>
      <c r="O10" s="12">
        <f>N10/E10*100</f>
        <v>1.283541361362373</v>
      </c>
      <c r="P10" s="11">
        <f>J10-E10</f>
        <v>-19789</v>
      </c>
      <c r="Q10" s="12">
        <f>P10/E10*100</f>
        <v>-100</v>
      </c>
      <c r="R10" s="11">
        <f>K10-E10</f>
        <v>-19789</v>
      </c>
      <c r="S10" s="12">
        <f>R10/E10*100</f>
        <v>-100</v>
      </c>
    </row>
    <row r="11" spans="1:19" s="36" customFormat="1" ht="25.5" customHeight="1" x14ac:dyDescent="0.25">
      <c r="A11" s="113" t="s">
        <v>38</v>
      </c>
      <c r="B11" s="199" t="s">
        <v>39</v>
      </c>
      <c r="C11" s="200"/>
      <c r="D11" s="5"/>
      <c r="E11" s="5"/>
      <c r="F11" s="5"/>
      <c r="G11" s="112"/>
      <c r="H11" s="56"/>
      <c r="I11" s="56"/>
      <c r="J11" s="5"/>
      <c r="K11" s="5"/>
      <c r="L11" s="11">
        <f t="shared" ref="L11:L15" si="0">H11-E11</f>
        <v>0</v>
      </c>
      <c r="M11" s="12" t="e">
        <f t="shared" ref="M11:M15" si="1">L11/E11*100</f>
        <v>#DIV/0!</v>
      </c>
      <c r="N11" s="11">
        <f t="shared" ref="N11:N15" si="2">I11-E11</f>
        <v>0</v>
      </c>
      <c r="O11" s="12" t="e">
        <f t="shared" ref="O11:O15" si="3">N11/E11*100</f>
        <v>#DIV/0!</v>
      </c>
      <c r="P11" s="11">
        <f t="shared" ref="P11:P15" si="4">J11-E11</f>
        <v>0</v>
      </c>
      <c r="Q11" s="12" t="e">
        <f t="shared" ref="Q11:Q15" si="5">P11/E11*100</f>
        <v>#DIV/0!</v>
      </c>
      <c r="R11" s="11">
        <f t="shared" ref="R11:R15" si="6">K11-E11</f>
        <v>0</v>
      </c>
      <c r="S11" s="12" t="e">
        <f t="shared" ref="S11:S15" si="7">R11/E11*100</f>
        <v>#DIV/0!</v>
      </c>
    </row>
    <row r="12" spans="1:19" x14ac:dyDescent="0.2">
      <c r="A12" s="94"/>
      <c r="B12" s="114" t="s">
        <v>49</v>
      </c>
      <c r="C12" s="115" t="s">
        <v>103</v>
      </c>
      <c r="D12" s="9">
        <v>16800</v>
      </c>
      <c r="E12" s="9">
        <v>17577</v>
      </c>
      <c r="F12" s="9">
        <f>E12-D12</f>
        <v>777</v>
      </c>
      <c r="G12" s="16">
        <f>F12/D12*100</f>
        <v>4.625</v>
      </c>
      <c r="H12" s="9">
        <v>17676</v>
      </c>
      <c r="I12" s="9">
        <v>17831</v>
      </c>
      <c r="J12" s="9"/>
      <c r="K12" s="9"/>
      <c r="L12" s="11">
        <f t="shared" si="0"/>
        <v>99</v>
      </c>
      <c r="M12" s="16">
        <f t="shared" si="1"/>
        <v>0.5632360471070148</v>
      </c>
      <c r="N12" s="11">
        <f t="shared" si="2"/>
        <v>254</v>
      </c>
      <c r="O12" s="16">
        <f t="shared" si="3"/>
        <v>1.4450702622745635</v>
      </c>
      <c r="P12" s="11">
        <f t="shared" si="4"/>
        <v>-17577</v>
      </c>
      <c r="Q12" s="16">
        <f t="shared" si="5"/>
        <v>-100</v>
      </c>
      <c r="R12" s="11">
        <f t="shared" si="6"/>
        <v>-17577</v>
      </c>
      <c r="S12" s="16">
        <f t="shared" si="7"/>
        <v>-100</v>
      </c>
    </row>
    <row r="13" spans="1:19" x14ac:dyDescent="0.2">
      <c r="A13" s="94"/>
      <c r="B13" s="114" t="s">
        <v>38</v>
      </c>
      <c r="C13" s="115" t="s">
        <v>104</v>
      </c>
      <c r="D13" s="6">
        <v>2162</v>
      </c>
      <c r="E13" s="6">
        <v>2167</v>
      </c>
      <c r="F13" s="6">
        <f>E13-D13</f>
        <v>5</v>
      </c>
      <c r="G13" s="12">
        <f t="shared" ref="G13:G15" si="8">F13/D13*100</f>
        <v>0.23126734505087881</v>
      </c>
      <c r="H13" s="9">
        <v>2167</v>
      </c>
      <c r="I13" s="9">
        <v>2167</v>
      </c>
      <c r="J13" s="6"/>
      <c r="K13" s="6"/>
      <c r="L13" s="11">
        <f t="shared" si="0"/>
        <v>0</v>
      </c>
      <c r="M13" s="12">
        <f t="shared" si="1"/>
        <v>0</v>
      </c>
      <c r="N13" s="11">
        <f t="shared" si="2"/>
        <v>0</v>
      </c>
      <c r="O13" s="12">
        <f t="shared" si="3"/>
        <v>0</v>
      </c>
      <c r="P13" s="11">
        <f t="shared" si="4"/>
        <v>-2167</v>
      </c>
      <c r="Q13" s="12">
        <f t="shared" si="5"/>
        <v>-100</v>
      </c>
      <c r="R13" s="11">
        <f t="shared" si="6"/>
        <v>-2167</v>
      </c>
      <c r="S13" s="12">
        <f t="shared" si="7"/>
        <v>-100</v>
      </c>
    </row>
    <row r="14" spans="1:19" x14ac:dyDescent="0.2">
      <c r="A14" s="94"/>
      <c r="B14" s="114" t="s">
        <v>42</v>
      </c>
      <c r="C14" s="116" t="s">
        <v>105</v>
      </c>
      <c r="D14" s="7">
        <v>45</v>
      </c>
      <c r="E14" s="7">
        <v>45</v>
      </c>
      <c r="F14" s="6">
        <f t="shared" ref="F14:F15" si="9">E14-D14</f>
        <v>0</v>
      </c>
      <c r="G14" s="12">
        <f t="shared" si="8"/>
        <v>0</v>
      </c>
      <c r="H14" s="61">
        <v>45</v>
      </c>
      <c r="I14" s="61">
        <v>45</v>
      </c>
      <c r="J14" s="7"/>
      <c r="K14" s="7"/>
      <c r="L14" s="11">
        <f t="shared" si="0"/>
        <v>0</v>
      </c>
      <c r="M14" s="12">
        <f t="shared" si="1"/>
        <v>0</v>
      </c>
      <c r="N14" s="11">
        <f t="shared" si="2"/>
        <v>0</v>
      </c>
      <c r="O14" s="12">
        <f t="shared" si="3"/>
        <v>0</v>
      </c>
      <c r="P14" s="11">
        <f t="shared" si="4"/>
        <v>-45</v>
      </c>
      <c r="Q14" s="12">
        <f t="shared" si="5"/>
        <v>-100</v>
      </c>
      <c r="R14" s="11">
        <f t="shared" si="6"/>
        <v>-45</v>
      </c>
      <c r="S14" s="12">
        <f t="shared" si="7"/>
        <v>-100</v>
      </c>
    </row>
    <row r="15" spans="1:19" s="37" customFormat="1" x14ac:dyDescent="0.2">
      <c r="A15" s="117"/>
      <c r="B15" s="118"/>
      <c r="C15" s="119" t="s">
        <v>41</v>
      </c>
      <c r="D15" s="120">
        <f>SUM(D12:D14)</f>
        <v>19007</v>
      </c>
      <c r="E15" s="121">
        <f>SUM(E12:E14)</f>
        <v>19789</v>
      </c>
      <c r="F15" s="122">
        <f t="shared" si="9"/>
        <v>782</v>
      </c>
      <c r="G15" s="123">
        <f t="shared" si="8"/>
        <v>4.1142736886410267</v>
      </c>
      <c r="H15" s="124">
        <f t="shared" ref="H15:K15" si="10">SUM(H12:H14)</f>
        <v>19888</v>
      </c>
      <c r="I15" s="120">
        <f t="shared" si="10"/>
        <v>20043</v>
      </c>
      <c r="J15" s="120">
        <f t="shared" si="10"/>
        <v>0</v>
      </c>
      <c r="K15" s="120">
        <f t="shared" si="10"/>
        <v>0</v>
      </c>
      <c r="L15" s="11">
        <f t="shared" si="0"/>
        <v>99</v>
      </c>
      <c r="M15" s="12">
        <f t="shared" si="1"/>
        <v>0.50027793218454697</v>
      </c>
      <c r="N15" s="11">
        <f t="shared" si="2"/>
        <v>254</v>
      </c>
      <c r="O15" s="12">
        <f t="shared" si="3"/>
        <v>1.283541361362373</v>
      </c>
      <c r="P15" s="11">
        <f t="shared" si="4"/>
        <v>-19789</v>
      </c>
      <c r="Q15" s="12">
        <f t="shared" si="5"/>
        <v>-100</v>
      </c>
      <c r="R15" s="11">
        <f t="shared" si="6"/>
        <v>-19789</v>
      </c>
      <c r="S15" s="12">
        <f t="shared" si="7"/>
        <v>-100</v>
      </c>
    </row>
    <row r="16" spans="1:19" ht="25.5" customHeight="1" x14ac:dyDescent="0.25">
      <c r="A16" s="125" t="s">
        <v>42</v>
      </c>
      <c r="B16" s="194" t="s">
        <v>48</v>
      </c>
      <c r="C16" s="195"/>
      <c r="D16" s="83"/>
      <c r="E16" s="126"/>
      <c r="F16" s="6"/>
      <c r="G16" s="12"/>
      <c r="H16" s="126"/>
      <c r="I16" s="126"/>
      <c r="J16" s="127"/>
      <c r="K16" s="126"/>
      <c r="L16" s="11"/>
      <c r="M16" s="12"/>
      <c r="N16" s="11"/>
      <c r="O16" s="12"/>
      <c r="P16" s="11"/>
      <c r="Q16" s="12"/>
      <c r="R16" s="11"/>
      <c r="S16" s="12"/>
    </row>
    <row r="17" spans="1:19" x14ac:dyDescent="0.2">
      <c r="A17" s="93"/>
      <c r="B17" s="128" t="s">
        <v>49</v>
      </c>
      <c r="C17" s="129" t="s">
        <v>3</v>
      </c>
      <c r="D17" s="130"/>
      <c r="E17" s="131">
        <v>1370</v>
      </c>
      <c r="F17" s="131">
        <f t="shared" ref="F17:F24" si="11">E17-D17</f>
        <v>1370</v>
      </c>
      <c r="G17" s="12" t="e">
        <f t="shared" ref="G17:G24" si="12">F17/D17*100</f>
        <v>#DIV/0!</v>
      </c>
      <c r="H17" s="88">
        <f>E17+73</f>
        <v>1443</v>
      </c>
      <c r="I17" s="88">
        <f>H17+123</f>
        <v>1566</v>
      </c>
      <c r="J17" s="6"/>
      <c r="K17" s="6"/>
      <c r="L17" s="11">
        <f t="shared" ref="L17:L24" si="13">H17-E17</f>
        <v>73</v>
      </c>
      <c r="M17" s="12">
        <f t="shared" ref="M17:M24" si="14">L17/E17*100</f>
        <v>5.3284671532846719</v>
      </c>
      <c r="N17" s="11">
        <f t="shared" ref="N17:N24" si="15">I17-E17</f>
        <v>196</v>
      </c>
      <c r="O17" s="12">
        <f t="shared" ref="O17:O24" si="16">N17/E17*100</f>
        <v>14.306569343065693</v>
      </c>
      <c r="P17" s="11">
        <f t="shared" ref="P17:P24" si="17">J17-E17</f>
        <v>-1370</v>
      </c>
      <c r="Q17" s="12">
        <f t="shared" ref="Q17:Q24" si="18">P17/E17*100</f>
        <v>-100</v>
      </c>
      <c r="R17" s="11">
        <f t="shared" ref="R17:R24" si="19">K17-E17</f>
        <v>-1370</v>
      </c>
      <c r="S17" s="12">
        <f t="shared" ref="S17:S24" si="20">R17/E17*100</f>
        <v>-100</v>
      </c>
    </row>
    <row r="18" spans="1:19" x14ac:dyDescent="0.2">
      <c r="A18" s="93"/>
      <c r="B18" s="128" t="s">
        <v>38</v>
      </c>
      <c r="C18" s="132" t="s">
        <v>4</v>
      </c>
      <c r="D18" s="130"/>
      <c r="E18" s="131">
        <v>2133</v>
      </c>
      <c r="F18" s="131">
        <f t="shared" si="11"/>
        <v>2133</v>
      </c>
      <c r="G18" s="12" t="e">
        <f t="shared" si="12"/>
        <v>#DIV/0!</v>
      </c>
      <c r="H18" s="88">
        <f>E18+99</f>
        <v>2232</v>
      </c>
      <c r="I18" s="88">
        <f>H18+155</f>
        <v>2387</v>
      </c>
      <c r="J18" s="6"/>
      <c r="K18" s="6"/>
      <c r="L18" s="11">
        <f t="shared" si="13"/>
        <v>99</v>
      </c>
      <c r="M18" s="12">
        <f t="shared" si="14"/>
        <v>4.6413502109704643</v>
      </c>
      <c r="N18" s="11">
        <f t="shared" si="15"/>
        <v>254</v>
      </c>
      <c r="O18" s="12">
        <f t="shared" si="16"/>
        <v>11.908110642287857</v>
      </c>
      <c r="P18" s="11">
        <f t="shared" si="17"/>
        <v>-2133</v>
      </c>
      <c r="Q18" s="12">
        <f t="shared" si="18"/>
        <v>-100</v>
      </c>
      <c r="R18" s="11">
        <f t="shared" si="19"/>
        <v>-2133</v>
      </c>
      <c r="S18" s="12">
        <f t="shared" si="20"/>
        <v>-100</v>
      </c>
    </row>
    <row r="19" spans="1:19" x14ac:dyDescent="0.2">
      <c r="A19" s="93"/>
      <c r="B19" s="128" t="s">
        <v>42</v>
      </c>
      <c r="C19" s="132" t="s">
        <v>5</v>
      </c>
      <c r="D19" s="130"/>
      <c r="E19" s="131"/>
      <c r="F19" s="131">
        <f t="shared" si="11"/>
        <v>0</v>
      </c>
      <c r="G19" s="12" t="e">
        <f t="shared" si="12"/>
        <v>#DIV/0!</v>
      </c>
      <c r="H19" s="88">
        <v>0</v>
      </c>
      <c r="I19" s="88">
        <v>0</v>
      </c>
      <c r="J19" s="6"/>
      <c r="K19" s="6"/>
      <c r="L19" s="11">
        <f t="shared" si="13"/>
        <v>0</v>
      </c>
      <c r="M19" s="12" t="e">
        <f t="shared" si="14"/>
        <v>#DIV/0!</v>
      </c>
      <c r="N19" s="11">
        <f t="shared" si="15"/>
        <v>0</v>
      </c>
      <c r="O19" s="12" t="e">
        <f t="shared" si="16"/>
        <v>#DIV/0!</v>
      </c>
      <c r="P19" s="11">
        <f t="shared" si="17"/>
        <v>0</v>
      </c>
      <c r="Q19" s="12" t="e">
        <f t="shared" si="18"/>
        <v>#DIV/0!</v>
      </c>
      <c r="R19" s="11">
        <f t="shared" si="19"/>
        <v>0</v>
      </c>
      <c r="S19" s="12" t="e">
        <f t="shared" si="20"/>
        <v>#DIV/0!</v>
      </c>
    </row>
    <row r="20" spans="1:19" x14ac:dyDescent="0.2">
      <c r="A20" s="93"/>
      <c r="B20" s="128" t="s">
        <v>43</v>
      </c>
      <c r="C20" s="132" t="s">
        <v>6</v>
      </c>
      <c r="D20" s="130"/>
      <c r="E20" s="131">
        <v>103</v>
      </c>
      <c r="F20" s="131">
        <f t="shared" si="11"/>
        <v>103</v>
      </c>
      <c r="G20" s="12" t="e">
        <f t="shared" si="12"/>
        <v>#DIV/0!</v>
      </c>
      <c r="H20" s="88">
        <v>103</v>
      </c>
      <c r="I20" s="88">
        <v>103</v>
      </c>
      <c r="J20" s="6"/>
      <c r="K20" s="6"/>
      <c r="L20" s="11">
        <f t="shared" si="13"/>
        <v>0</v>
      </c>
      <c r="M20" s="12">
        <f t="shared" si="14"/>
        <v>0</v>
      </c>
      <c r="N20" s="11">
        <f t="shared" si="15"/>
        <v>0</v>
      </c>
      <c r="O20" s="12">
        <f t="shared" si="16"/>
        <v>0</v>
      </c>
      <c r="P20" s="11">
        <f t="shared" si="17"/>
        <v>-103</v>
      </c>
      <c r="Q20" s="12">
        <f t="shared" si="18"/>
        <v>-100</v>
      </c>
      <c r="R20" s="11">
        <f t="shared" si="19"/>
        <v>-103</v>
      </c>
      <c r="S20" s="12">
        <f t="shared" si="20"/>
        <v>-100</v>
      </c>
    </row>
    <row r="21" spans="1:19" ht="17.25" customHeight="1" x14ac:dyDescent="0.2">
      <c r="A21" s="93"/>
      <c r="B21" s="128" t="s">
        <v>44</v>
      </c>
      <c r="C21" s="132" t="s">
        <v>106</v>
      </c>
      <c r="D21" s="130"/>
      <c r="E21" s="131">
        <v>74</v>
      </c>
      <c r="F21" s="131">
        <f t="shared" si="11"/>
        <v>74</v>
      </c>
      <c r="G21" s="12" t="e">
        <f t="shared" si="12"/>
        <v>#DIV/0!</v>
      </c>
      <c r="H21" s="88">
        <f>E21+23</f>
        <v>97</v>
      </c>
      <c r="I21" s="88">
        <f>H21</f>
        <v>97</v>
      </c>
      <c r="J21" s="6"/>
      <c r="K21" s="6"/>
      <c r="L21" s="11">
        <f t="shared" si="13"/>
        <v>23</v>
      </c>
      <c r="M21" s="12">
        <f t="shared" si="14"/>
        <v>31.081081081081081</v>
      </c>
      <c r="N21" s="11">
        <f t="shared" si="15"/>
        <v>23</v>
      </c>
      <c r="O21" s="12">
        <f t="shared" si="16"/>
        <v>31.081081081081081</v>
      </c>
      <c r="P21" s="11">
        <f t="shared" si="17"/>
        <v>-74</v>
      </c>
      <c r="Q21" s="12">
        <f t="shared" si="18"/>
        <v>-100</v>
      </c>
      <c r="R21" s="11">
        <f t="shared" si="19"/>
        <v>-74</v>
      </c>
      <c r="S21" s="12">
        <f t="shared" si="20"/>
        <v>-100</v>
      </c>
    </row>
    <row r="22" spans="1:19" x14ac:dyDescent="0.2">
      <c r="A22" s="93"/>
      <c r="B22" s="128" t="s">
        <v>46</v>
      </c>
      <c r="C22" s="133" t="s">
        <v>7</v>
      </c>
      <c r="D22" s="130"/>
      <c r="E22" s="131">
        <v>270</v>
      </c>
      <c r="F22" s="131">
        <f t="shared" si="11"/>
        <v>270</v>
      </c>
      <c r="G22" s="12" t="e">
        <f t="shared" si="12"/>
        <v>#DIV/0!</v>
      </c>
      <c r="H22" s="88">
        <v>270</v>
      </c>
      <c r="I22" s="88">
        <v>270</v>
      </c>
      <c r="J22" s="6"/>
      <c r="K22" s="6"/>
      <c r="L22" s="11">
        <f t="shared" si="13"/>
        <v>0</v>
      </c>
      <c r="M22" s="12">
        <f t="shared" si="14"/>
        <v>0</v>
      </c>
      <c r="N22" s="11">
        <f t="shared" si="15"/>
        <v>0</v>
      </c>
      <c r="O22" s="12">
        <f t="shared" si="16"/>
        <v>0</v>
      </c>
      <c r="P22" s="11">
        <f t="shared" si="17"/>
        <v>-270</v>
      </c>
      <c r="Q22" s="12">
        <f t="shared" si="18"/>
        <v>-100</v>
      </c>
      <c r="R22" s="11">
        <f t="shared" si="19"/>
        <v>-270</v>
      </c>
      <c r="S22" s="12">
        <f t="shared" si="20"/>
        <v>-100</v>
      </c>
    </row>
    <row r="23" spans="1:19" x14ac:dyDescent="0.2">
      <c r="A23" s="93"/>
      <c r="B23" s="128" t="s">
        <v>47</v>
      </c>
      <c r="C23" s="133" t="s">
        <v>8</v>
      </c>
      <c r="D23" s="130"/>
      <c r="E23" s="131">
        <v>3233</v>
      </c>
      <c r="F23" s="131">
        <f t="shared" si="11"/>
        <v>3233</v>
      </c>
      <c r="G23" s="12" t="e">
        <f t="shared" si="12"/>
        <v>#DIV/0!</v>
      </c>
      <c r="H23" s="88">
        <f>E23+50</f>
        <v>3283</v>
      </c>
      <c r="I23" s="88">
        <v>0</v>
      </c>
      <c r="J23" s="6"/>
      <c r="K23" s="6"/>
      <c r="L23" s="11">
        <f t="shared" si="13"/>
        <v>50</v>
      </c>
      <c r="M23" s="12">
        <f t="shared" si="14"/>
        <v>1.5465511908444169</v>
      </c>
      <c r="N23" s="11">
        <f t="shared" si="15"/>
        <v>-3233</v>
      </c>
      <c r="O23" s="12">
        <f t="shared" si="16"/>
        <v>-100</v>
      </c>
      <c r="P23" s="11">
        <f t="shared" si="17"/>
        <v>-3233</v>
      </c>
      <c r="Q23" s="12">
        <f t="shared" si="18"/>
        <v>-100</v>
      </c>
      <c r="R23" s="11">
        <f t="shared" si="19"/>
        <v>-3233</v>
      </c>
      <c r="S23" s="12">
        <f t="shared" si="20"/>
        <v>-100</v>
      </c>
    </row>
    <row r="24" spans="1:19" ht="15.75" thickBot="1" x14ac:dyDescent="0.25">
      <c r="A24" s="10"/>
      <c r="B24" s="134" t="s">
        <v>50</v>
      </c>
      <c r="C24" s="135" t="s">
        <v>9</v>
      </c>
      <c r="D24" s="96"/>
      <c r="E24" s="91">
        <v>15</v>
      </c>
      <c r="F24" s="136">
        <f t="shared" si="11"/>
        <v>15</v>
      </c>
      <c r="G24" s="14" t="e">
        <f t="shared" si="12"/>
        <v>#DIV/0!</v>
      </c>
      <c r="H24" s="91">
        <f>E24</f>
        <v>15</v>
      </c>
      <c r="I24" s="91">
        <f>H24</f>
        <v>15</v>
      </c>
      <c r="J24" s="10"/>
      <c r="K24" s="10"/>
      <c r="L24" s="13">
        <f t="shared" si="13"/>
        <v>0</v>
      </c>
      <c r="M24" s="14">
        <f t="shared" si="14"/>
        <v>0</v>
      </c>
      <c r="N24" s="13">
        <f t="shared" si="15"/>
        <v>0</v>
      </c>
      <c r="O24" s="14">
        <f t="shared" si="16"/>
        <v>0</v>
      </c>
      <c r="P24" s="13">
        <f t="shared" si="17"/>
        <v>-15</v>
      </c>
      <c r="Q24" s="14">
        <f t="shared" si="18"/>
        <v>-100</v>
      </c>
      <c r="R24" s="13">
        <f t="shared" si="19"/>
        <v>-15</v>
      </c>
      <c r="S24" s="14">
        <f t="shared" si="20"/>
        <v>-100</v>
      </c>
    </row>
  </sheetData>
  <mergeCells count="22">
    <mergeCell ref="L4:S4"/>
    <mergeCell ref="D5:D6"/>
    <mergeCell ref="E5:E6"/>
    <mergeCell ref="F5:F6"/>
    <mergeCell ref="G5:G6"/>
    <mergeCell ref="A4:A6"/>
    <mergeCell ref="B4:C6"/>
    <mergeCell ref="D4:E4"/>
    <mergeCell ref="F4:G4"/>
    <mergeCell ref="H4:K4"/>
    <mergeCell ref="B16:C16"/>
    <mergeCell ref="P5:Q5"/>
    <mergeCell ref="R5:S5"/>
    <mergeCell ref="B7:C7"/>
    <mergeCell ref="B10:C10"/>
    <mergeCell ref="B11:C11"/>
    <mergeCell ref="H5:H6"/>
    <mergeCell ref="I5:I6"/>
    <mergeCell ref="J5:J6"/>
    <mergeCell ref="K5:K6"/>
    <mergeCell ref="L5:M5"/>
    <mergeCell ref="N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Perkembangan dan Grafik</vt:lpstr>
      <vt:lpstr>Sheet1</vt:lpstr>
      <vt:lpstr>Data IKK Outcome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2022-01-17T03:16:48Z</cp:lastPrinted>
  <dcterms:created xsi:type="dcterms:W3CDTF">2021-07-07T05:25:15Z</dcterms:created>
  <dcterms:modified xsi:type="dcterms:W3CDTF">2023-01-09T06:27:11Z</dcterms:modified>
</cp:coreProperties>
</file>